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ysononline-my.sharepoint.com/personal/shikhar_shrestha_tyson_com/Documents/Desktop/Executive MBA/Summer 2025/Accounting/Assignment 3 Analysis Project Phase 3/"/>
    </mc:Choice>
  </mc:AlternateContent>
  <xr:revisionPtr revIDLastSave="519" documentId="8_{801503D4-A97F-4AAD-8651-21280655C5DA}" xr6:coauthVersionLast="47" xr6:coauthVersionMax="47" xr10:uidLastSave="{6BBB253E-4307-4850-B1FC-C21DAE46F095}"/>
  <bookViews>
    <workbookView xWindow="-108" yWindow="-108" windowWidth="23256" windowHeight="12456" firstSheet="1" activeTab="6" xr2:uid="{00000000-000D-0000-FFFF-FFFF00000000}"/>
  </bookViews>
  <sheets>
    <sheet name="Assumptions" sheetId="6" r:id="rId1"/>
    <sheet name="BS" sheetId="1" r:id="rId2"/>
    <sheet name="IS" sheetId="2" r:id="rId3"/>
    <sheet name="WACC" sheetId="15" r:id="rId4"/>
    <sheet name="ROPI - Base" sheetId="7" r:id="rId5"/>
    <sheet name="SAISLower" sheetId="18" r:id="rId6"/>
    <sheet name="Sensitivity Analysis (SA)" sheetId="8" r:id="rId7"/>
    <sheet name="SABSLower" sheetId="17" r:id="rId8"/>
    <sheet name="SAROPILower" sheetId="11" r:id="rId9"/>
    <sheet name="SABSUpper" sheetId="19" r:id="rId10"/>
    <sheet name="SAISUpper" sheetId="20" r:id="rId11"/>
    <sheet name="SAROPIUpper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5" l="1"/>
  <c r="B30" i="15" s="1"/>
  <c r="N17" i="2"/>
  <c r="M42" i="2"/>
  <c r="M43" i="1"/>
  <c r="M42" i="1"/>
  <c r="AF46" i="19"/>
  <c r="C13" i="14"/>
  <c r="C11" i="14"/>
  <c r="AG40" i="19"/>
  <c r="AH40" i="19"/>
  <c r="AI40" i="19"/>
  <c r="AJ40" i="19"/>
  <c r="AK40" i="19"/>
  <c r="AL40" i="19"/>
  <c r="AF40" i="19"/>
  <c r="AG38" i="19"/>
  <c r="AH38" i="19"/>
  <c r="AI38" i="19"/>
  <c r="AJ38" i="19"/>
  <c r="AK38" i="19"/>
  <c r="AL38" i="19"/>
  <c r="AF38" i="19"/>
  <c r="AG20" i="19"/>
  <c r="AH20" i="19"/>
  <c r="AI20" i="19"/>
  <c r="AJ20" i="19"/>
  <c r="AK20" i="19"/>
  <c r="AL20" i="19"/>
  <c r="AF20" i="19"/>
  <c r="AG18" i="19"/>
  <c r="AH18" i="19"/>
  <c r="AI18" i="19"/>
  <c r="AJ18" i="19"/>
  <c r="AK18" i="19"/>
  <c r="AL18" i="19"/>
  <c r="AF18" i="19"/>
  <c r="AG17" i="19"/>
  <c r="AH17" i="19"/>
  <c r="AI17" i="19"/>
  <c r="AJ17" i="19"/>
  <c r="AK17" i="19"/>
  <c r="AL17" i="19"/>
  <c r="AF17" i="19"/>
  <c r="N8" i="17"/>
  <c r="AG20" i="17"/>
  <c r="AH20" i="17"/>
  <c r="AI20" i="17"/>
  <c r="AJ20" i="17"/>
  <c r="AK20" i="17"/>
  <c r="AL20" i="17"/>
  <c r="AF20" i="17"/>
  <c r="AG40" i="17"/>
  <c r="AH40" i="17"/>
  <c r="AI40" i="17"/>
  <c r="AJ40" i="17"/>
  <c r="AK40" i="17"/>
  <c r="AL40" i="17"/>
  <c r="AF40" i="17"/>
  <c r="AG38" i="17"/>
  <c r="AH38" i="17"/>
  <c r="AI38" i="17"/>
  <c r="AJ38" i="17"/>
  <c r="AK38" i="17"/>
  <c r="AL38" i="17"/>
  <c r="AF38" i="17"/>
  <c r="AF24" i="17"/>
  <c r="AG18" i="17"/>
  <c r="AH18" i="17"/>
  <c r="AI18" i="17"/>
  <c r="AJ18" i="17"/>
  <c r="AK18" i="17"/>
  <c r="AL18" i="17"/>
  <c r="AF18" i="17"/>
  <c r="AG17" i="17"/>
  <c r="AH17" i="17"/>
  <c r="AI17" i="17"/>
  <c r="AJ17" i="17"/>
  <c r="AK17" i="17"/>
  <c r="AL17" i="17"/>
  <c r="AF17" i="17"/>
  <c r="S8" i="20"/>
  <c r="O8" i="20"/>
  <c r="P8" i="20" s="1"/>
  <c r="Q8" i="20" s="1"/>
  <c r="R8" i="20" s="1"/>
  <c r="N8" i="20"/>
  <c r="S2" i="19"/>
  <c r="O2" i="19"/>
  <c r="P2" i="19"/>
  <c r="Q2" i="19" s="1"/>
  <c r="R2" i="19" s="1"/>
  <c r="N2" i="19"/>
  <c r="S8" i="18"/>
  <c r="O8" i="18"/>
  <c r="P8" i="18" s="1"/>
  <c r="Q8" i="18" s="1"/>
  <c r="R8" i="18" s="1"/>
  <c r="N8" i="18"/>
  <c r="S2" i="17"/>
  <c r="O2" i="17"/>
  <c r="P2" i="17"/>
  <c r="Q2" i="17"/>
  <c r="R2" i="17"/>
  <c r="N2" i="17"/>
  <c r="AK17" i="1"/>
  <c r="AL17" i="1"/>
  <c r="AL37" i="1"/>
  <c r="S8" i="2"/>
  <c r="R8" i="2"/>
  <c r="O8" i="2"/>
  <c r="P8" i="2"/>
  <c r="Q8" i="2"/>
  <c r="N8" i="2"/>
  <c r="S2" i="1"/>
  <c r="O2" i="1"/>
  <c r="P2" i="1"/>
  <c r="Q2" i="1" s="1"/>
  <c r="R2" i="1" s="1"/>
  <c r="N2" i="1"/>
  <c r="C15" i="14" l="1"/>
  <c r="C12" i="14"/>
  <c r="D5" i="14"/>
  <c r="E3" i="14"/>
  <c r="F3" i="14"/>
  <c r="G3" i="14"/>
  <c r="H3" i="14"/>
  <c r="I3" i="14"/>
  <c r="D3" i="14"/>
  <c r="J3" i="14"/>
  <c r="M50" i="20"/>
  <c r="M48" i="20"/>
  <c r="M47" i="20"/>
  <c r="N14" i="20" s="1"/>
  <c r="M45" i="20"/>
  <c r="N12" i="20" s="1"/>
  <c r="M44" i="20"/>
  <c r="M42" i="20"/>
  <c r="E36" i="20"/>
  <c r="D36" i="20"/>
  <c r="J34" i="20"/>
  <c r="J36" i="20" s="1"/>
  <c r="I34" i="20"/>
  <c r="F34" i="20"/>
  <c r="E34" i="20"/>
  <c r="D34" i="20"/>
  <c r="M33" i="20"/>
  <c r="L33" i="20"/>
  <c r="L34" i="20" s="1"/>
  <c r="K33" i="20"/>
  <c r="J33" i="20"/>
  <c r="I33" i="20"/>
  <c r="H33" i="20"/>
  <c r="G33" i="20"/>
  <c r="F33" i="20"/>
  <c r="E33" i="20"/>
  <c r="D33" i="20"/>
  <c r="C33" i="20"/>
  <c r="C34" i="20" s="1"/>
  <c r="C36" i="20" s="1"/>
  <c r="M32" i="20"/>
  <c r="M34" i="20" s="1"/>
  <c r="L32" i="20"/>
  <c r="K32" i="20"/>
  <c r="K34" i="20" s="1"/>
  <c r="K36" i="20" s="1"/>
  <c r="J32" i="20"/>
  <c r="I32" i="20"/>
  <c r="H32" i="20"/>
  <c r="H34" i="20" s="1"/>
  <c r="G32" i="20"/>
  <c r="G34" i="20" s="1"/>
  <c r="F32" i="20"/>
  <c r="E32" i="20"/>
  <c r="D32" i="20"/>
  <c r="C32" i="20"/>
  <c r="M31" i="20"/>
  <c r="M36" i="20" s="1"/>
  <c r="L31" i="20"/>
  <c r="K31" i="20"/>
  <c r="J31" i="20"/>
  <c r="I31" i="20"/>
  <c r="I36" i="20" s="1"/>
  <c r="H31" i="20"/>
  <c r="G31" i="20"/>
  <c r="F31" i="20"/>
  <c r="F36" i="20" s="1"/>
  <c r="E31" i="20"/>
  <c r="D31" i="20"/>
  <c r="C31" i="20"/>
  <c r="F27" i="20"/>
  <c r="E27" i="20"/>
  <c r="K25" i="20"/>
  <c r="K27" i="20" s="1"/>
  <c r="J25" i="20"/>
  <c r="G25" i="20"/>
  <c r="F25" i="20"/>
  <c r="E25" i="20"/>
  <c r="M24" i="20"/>
  <c r="L24" i="20"/>
  <c r="K24" i="20"/>
  <c r="J24" i="20"/>
  <c r="I24" i="20"/>
  <c r="H24" i="20"/>
  <c r="G24" i="20"/>
  <c r="F24" i="20"/>
  <c r="E24" i="20"/>
  <c r="D24" i="20"/>
  <c r="D25" i="20" s="1"/>
  <c r="D27" i="20" s="1"/>
  <c r="C24" i="20"/>
  <c r="M23" i="20"/>
  <c r="M25" i="20" s="1"/>
  <c r="L23" i="20"/>
  <c r="L25" i="20" s="1"/>
  <c r="L27" i="20" s="1"/>
  <c r="K23" i="20"/>
  <c r="J23" i="20"/>
  <c r="I23" i="20"/>
  <c r="I25" i="20" s="1"/>
  <c r="H23" i="20"/>
  <c r="H25" i="20" s="1"/>
  <c r="G23" i="20"/>
  <c r="F23" i="20"/>
  <c r="E23" i="20"/>
  <c r="D23" i="20"/>
  <c r="C23" i="20"/>
  <c r="C25" i="20" s="1"/>
  <c r="C27" i="20" s="1"/>
  <c r="M22" i="20"/>
  <c r="L22" i="20"/>
  <c r="K22" i="20"/>
  <c r="J22" i="20"/>
  <c r="J27" i="20" s="1"/>
  <c r="I22" i="20"/>
  <c r="H22" i="20"/>
  <c r="H27" i="20" s="1"/>
  <c r="G22" i="20"/>
  <c r="G27" i="20" s="1"/>
  <c r="F22" i="20"/>
  <c r="E22" i="20"/>
  <c r="D22" i="20"/>
  <c r="C22" i="20"/>
  <c r="M20" i="20"/>
  <c r="M53" i="20" s="1"/>
  <c r="M18" i="20"/>
  <c r="M51" i="20" s="1"/>
  <c r="M16" i="20"/>
  <c r="X10" i="20"/>
  <c r="AC7" i="20"/>
  <c r="AB7" i="20"/>
  <c r="AA7" i="20"/>
  <c r="X9" i="20" s="1"/>
  <c r="Z7" i="20"/>
  <c r="Y7" i="20"/>
  <c r="M70" i="19"/>
  <c r="M68" i="19"/>
  <c r="M67" i="19"/>
  <c r="M66" i="19"/>
  <c r="M65" i="19"/>
  <c r="N31" i="19" s="1"/>
  <c r="M61" i="19"/>
  <c r="M60" i="19"/>
  <c r="M59" i="19"/>
  <c r="M57" i="19"/>
  <c r="M56" i="19"/>
  <c r="M55" i="19"/>
  <c r="M54" i="19"/>
  <c r="M53" i="19"/>
  <c r="N19" i="19" s="1"/>
  <c r="M51" i="19"/>
  <c r="M50" i="19"/>
  <c r="M49" i="19"/>
  <c r="M48" i="19"/>
  <c r="M47" i="19"/>
  <c r="AA45" i="19"/>
  <c r="M45" i="19"/>
  <c r="M44" i="19"/>
  <c r="AA43" i="19"/>
  <c r="M43" i="19"/>
  <c r="M42" i="19"/>
  <c r="AE40" i="19"/>
  <c r="AD40" i="19"/>
  <c r="AC40" i="19"/>
  <c r="AC43" i="19" s="1"/>
  <c r="AB40" i="19"/>
  <c r="AA40" i="19"/>
  <c r="Z40" i="19"/>
  <c r="Z43" i="19" s="1"/>
  <c r="Y40" i="19"/>
  <c r="X40" i="19"/>
  <c r="W40" i="19"/>
  <c r="V40" i="19"/>
  <c r="AF39" i="19"/>
  <c r="AA39" i="19"/>
  <c r="Z39" i="19"/>
  <c r="AD37" i="19"/>
  <c r="N34" i="19"/>
  <c r="B26" i="19"/>
  <c r="AC23" i="19"/>
  <c r="N23" i="19"/>
  <c r="AE20" i="19"/>
  <c r="AE23" i="19" s="1"/>
  <c r="AD20" i="19"/>
  <c r="AD23" i="19" s="1"/>
  <c r="AC20" i="19"/>
  <c r="AB20" i="19"/>
  <c r="AB23" i="19" s="1"/>
  <c r="AA20" i="19"/>
  <c r="AA23" i="19" s="1"/>
  <c r="Z20" i="19"/>
  <c r="Z23" i="19" s="1"/>
  <c r="Y20" i="19"/>
  <c r="Y23" i="19" s="1"/>
  <c r="X20" i="19"/>
  <c r="X23" i="19" s="1"/>
  <c r="W20" i="19"/>
  <c r="W23" i="19" s="1"/>
  <c r="V20" i="19"/>
  <c r="AF19" i="19"/>
  <c r="AE19" i="19"/>
  <c r="AE39" i="19" s="1"/>
  <c r="AD19" i="19"/>
  <c r="AD39" i="19" s="1"/>
  <c r="AC19" i="19"/>
  <c r="AC39" i="19" s="1"/>
  <c r="AB19" i="19"/>
  <c r="AB39" i="19" s="1"/>
  <c r="AA19" i="19"/>
  <c r="Z19" i="19"/>
  <c r="Y19" i="19"/>
  <c r="Y39" i="19" s="1"/>
  <c r="X19" i="19"/>
  <c r="X39" i="19" s="1"/>
  <c r="W19" i="19"/>
  <c r="W39" i="19" s="1"/>
  <c r="AE17" i="19"/>
  <c r="AE37" i="19" s="1"/>
  <c r="AD17" i="19"/>
  <c r="AC17" i="19"/>
  <c r="AC37" i="19" s="1"/>
  <c r="AB17" i="19"/>
  <c r="AA17" i="19"/>
  <c r="Z17" i="19"/>
  <c r="Y17" i="19"/>
  <c r="X17" i="19"/>
  <c r="X37" i="19" s="1"/>
  <c r="W17" i="19"/>
  <c r="W37" i="19" s="1"/>
  <c r="V17" i="19"/>
  <c r="V37" i="19" s="1"/>
  <c r="N17" i="19"/>
  <c r="N16" i="19"/>
  <c r="AE14" i="19"/>
  <c r="AE46" i="19" s="1"/>
  <c r="AD14" i="19"/>
  <c r="AE15" i="19" s="1"/>
  <c r="Z14" i="19"/>
  <c r="Z46" i="19" s="1"/>
  <c r="Y14" i="19"/>
  <c r="Z15" i="19" s="1"/>
  <c r="N14" i="19"/>
  <c r="AF13" i="19"/>
  <c r="AE13" i="19"/>
  <c r="AD13" i="19"/>
  <c r="AC13" i="19"/>
  <c r="AB13" i="19"/>
  <c r="AA13" i="19"/>
  <c r="Z13" i="19"/>
  <c r="Y13" i="19"/>
  <c r="X13" i="19"/>
  <c r="X14" i="19" s="1"/>
  <c r="W13" i="19"/>
  <c r="V13" i="19"/>
  <c r="AF12" i="19"/>
  <c r="AF14" i="19" s="1"/>
  <c r="AE12" i="19"/>
  <c r="AD12" i="19"/>
  <c r="AC12" i="19"/>
  <c r="AC14" i="19" s="1"/>
  <c r="AB12" i="19"/>
  <c r="AB14" i="19" s="1"/>
  <c r="AA12" i="19"/>
  <c r="AA14" i="19" s="1"/>
  <c r="Z12" i="19"/>
  <c r="Y12" i="19"/>
  <c r="X12" i="19"/>
  <c r="W12" i="19"/>
  <c r="W14" i="19" s="1"/>
  <c r="V12" i="19"/>
  <c r="V14" i="19" s="1"/>
  <c r="N11" i="19"/>
  <c r="AF9" i="19"/>
  <c r="AF25" i="19" s="1"/>
  <c r="AE9" i="19"/>
  <c r="AF10" i="19" s="1"/>
  <c r="AA9" i="19"/>
  <c r="AA25" i="19" s="1"/>
  <c r="Z9" i="19"/>
  <c r="Z45" i="19" s="1"/>
  <c r="AF8" i="19"/>
  <c r="AE8" i="19"/>
  <c r="AD8" i="19"/>
  <c r="AC8" i="19"/>
  <c r="AB8" i="19"/>
  <c r="AA8" i="19"/>
  <c r="Z8" i="19"/>
  <c r="Y8" i="19"/>
  <c r="Y9" i="19" s="1"/>
  <c r="X8" i="19"/>
  <c r="W8" i="19"/>
  <c r="V8" i="19"/>
  <c r="N8" i="19"/>
  <c r="AG13" i="19" s="1"/>
  <c r="AF7" i="19"/>
  <c r="AE7" i="19"/>
  <c r="AD7" i="19"/>
  <c r="AD9" i="19" s="1"/>
  <c r="AC7" i="19"/>
  <c r="AC9" i="19" s="1"/>
  <c r="AB7" i="19"/>
  <c r="AB9" i="19" s="1"/>
  <c r="AA7" i="19"/>
  <c r="Z7" i="19"/>
  <c r="Y7" i="19"/>
  <c r="X7" i="19"/>
  <c r="X9" i="19" s="1"/>
  <c r="W7" i="19"/>
  <c r="W9" i="19" s="1"/>
  <c r="V7" i="19"/>
  <c r="V9" i="19" s="1"/>
  <c r="N13" i="19"/>
  <c r="C15" i="11"/>
  <c r="D5" i="11"/>
  <c r="E3" i="11"/>
  <c r="D3" i="11"/>
  <c r="M50" i="18"/>
  <c r="M48" i="18"/>
  <c r="M47" i="18"/>
  <c r="N14" i="18" s="1"/>
  <c r="M45" i="18"/>
  <c r="N12" i="18" s="1"/>
  <c r="M44" i="18"/>
  <c r="M42" i="18"/>
  <c r="N9" i="18" s="1"/>
  <c r="I34" i="18"/>
  <c r="F34" i="18"/>
  <c r="E34" i="18"/>
  <c r="C34" i="18"/>
  <c r="C36" i="18" s="1"/>
  <c r="M33" i="18"/>
  <c r="L33" i="18"/>
  <c r="K33" i="18"/>
  <c r="J33" i="18"/>
  <c r="I33" i="18"/>
  <c r="H33" i="18"/>
  <c r="H34" i="18" s="1"/>
  <c r="G33" i="18"/>
  <c r="F33" i="18"/>
  <c r="E33" i="18"/>
  <c r="D33" i="18"/>
  <c r="C33" i="18"/>
  <c r="M32" i="18"/>
  <c r="M34" i="18" s="1"/>
  <c r="M36" i="18" s="1"/>
  <c r="L32" i="18"/>
  <c r="L34" i="18" s="1"/>
  <c r="K32" i="18"/>
  <c r="K34" i="18" s="1"/>
  <c r="K36" i="18" s="1"/>
  <c r="J32" i="18"/>
  <c r="J34" i="18" s="1"/>
  <c r="J36" i="18" s="1"/>
  <c r="I32" i="18"/>
  <c r="H32" i="18"/>
  <c r="G32" i="18"/>
  <c r="G34" i="18" s="1"/>
  <c r="F32" i="18"/>
  <c r="E32" i="18"/>
  <c r="D32" i="18"/>
  <c r="D34" i="18" s="1"/>
  <c r="D36" i="18" s="1"/>
  <c r="C32" i="18"/>
  <c r="M31" i="18"/>
  <c r="L31" i="18"/>
  <c r="L36" i="18" s="1"/>
  <c r="K31" i="18"/>
  <c r="J31" i="18"/>
  <c r="I31" i="18"/>
  <c r="I36" i="18" s="1"/>
  <c r="H31" i="18"/>
  <c r="G31" i="18"/>
  <c r="F31" i="18"/>
  <c r="F36" i="18" s="1"/>
  <c r="E31" i="18"/>
  <c r="E36" i="18" s="1"/>
  <c r="D31" i="18"/>
  <c r="C31" i="18"/>
  <c r="J25" i="18"/>
  <c r="G25" i="18"/>
  <c r="F25" i="18"/>
  <c r="D25" i="18"/>
  <c r="D27" i="18" s="1"/>
  <c r="M24" i="18"/>
  <c r="L24" i="18"/>
  <c r="K24" i="18"/>
  <c r="J24" i="18"/>
  <c r="I24" i="18"/>
  <c r="I25" i="18" s="1"/>
  <c r="H24" i="18"/>
  <c r="G24" i="18"/>
  <c r="F24" i="18"/>
  <c r="E24" i="18"/>
  <c r="D24" i="18"/>
  <c r="C24" i="18"/>
  <c r="M23" i="18"/>
  <c r="M25" i="18" s="1"/>
  <c r="L23" i="18"/>
  <c r="L25" i="18" s="1"/>
  <c r="L27" i="18" s="1"/>
  <c r="K23" i="18"/>
  <c r="K25" i="18" s="1"/>
  <c r="K27" i="18" s="1"/>
  <c r="J23" i="18"/>
  <c r="I23" i="18"/>
  <c r="H23" i="18"/>
  <c r="H25" i="18" s="1"/>
  <c r="G23" i="18"/>
  <c r="F23" i="18"/>
  <c r="E23" i="18"/>
  <c r="E25" i="18" s="1"/>
  <c r="E27" i="18" s="1"/>
  <c r="D23" i="18"/>
  <c r="C23" i="18"/>
  <c r="C25" i="18" s="1"/>
  <c r="C27" i="18" s="1"/>
  <c r="M22" i="18"/>
  <c r="M27" i="18" s="1"/>
  <c r="L22" i="18"/>
  <c r="K22" i="18"/>
  <c r="J22" i="18"/>
  <c r="J27" i="18" s="1"/>
  <c r="I22" i="18"/>
  <c r="H22" i="18"/>
  <c r="G22" i="18"/>
  <c r="G27" i="18" s="1"/>
  <c r="F22" i="18"/>
  <c r="F27" i="18" s="1"/>
  <c r="E22" i="18"/>
  <c r="D22" i="18"/>
  <c r="C22" i="18"/>
  <c r="M20" i="18"/>
  <c r="M53" i="18" s="1"/>
  <c r="M18" i="18"/>
  <c r="M51" i="18" s="1"/>
  <c r="M16" i="18"/>
  <c r="M70" i="17"/>
  <c r="M68" i="17"/>
  <c r="M67" i="17"/>
  <c r="M66" i="17"/>
  <c r="M65" i="17"/>
  <c r="N31" i="17" s="1"/>
  <c r="M61" i="17"/>
  <c r="M60" i="17"/>
  <c r="M59" i="17"/>
  <c r="M57" i="17"/>
  <c r="M56" i="17"/>
  <c r="M55" i="17"/>
  <c r="M54" i="17"/>
  <c r="M53" i="17"/>
  <c r="N19" i="17" s="1"/>
  <c r="M51" i="17"/>
  <c r="M50" i="17"/>
  <c r="M49" i="17"/>
  <c r="M48" i="17"/>
  <c r="M47" i="17"/>
  <c r="AA45" i="17"/>
  <c r="M45" i="17"/>
  <c r="M44" i="17"/>
  <c r="M43" i="17"/>
  <c r="M42" i="17"/>
  <c r="AE40" i="17"/>
  <c r="AE43" i="17" s="1"/>
  <c r="AD40" i="17"/>
  <c r="AD43" i="17" s="1"/>
  <c r="AC40" i="17"/>
  <c r="AC43" i="17" s="1"/>
  <c r="AB40" i="17"/>
  <c r="AA40" i="17"/>
  <c r="AA43" i="17" s="1"/>
  <c r="Z40" i="17"/>
  <c r="Y40" i="17"/>
  <c r="X40" i="17"/>
  <c r="W40" i="17"/>
  <c r="V40" i="17"/>
  <c r="AF39" i="17"/>
  <c r="AA39" i="17"/>
  <c r="Z39" i="17"/>
  <c r="N34" i="17"/>
  <c r="B26" i="17"/>
  <c r="N23" i="17"/>
  <c r="AE20" i="17"/>
  <c r="AE23" i="17" s="1"/>
  <c r="AD20" i="17"/>
  <c r="AD23" i="17" s="1"/>
  <c r="AC20" i="17"/>
  <c r="AC23" i="17" s="1"/>
  <c r="AB20" i="17"/>
  <c r="AB23" i="17" s="1"/>
  <c r="AA20" i="17"/>
  <c r="AA23" i="17" s="1"/>
  <c r="Z20" i="17"/>
  <c r="Z23" i="17" s="1"/>
  <c r="Y20" i="17"/>
  <c r="Y23" i="17" s="1"/>
  <c r="X20" i="17"/>
  <c r="X23" i="17" s="1"/>
  <c r="W20" i="17"/>
  <c r="W23" i="17" s="1"/>
  <c r="V20" i="17"/>
  <c r="AF19" i="17"/>
  <c r="AE19" i="17"/>
  <c r="AE39" i="17" s="1"/>
  <c r="AD19" i="17"/>
  <c r="AD39" i="17" s="1"/>
  <c r="AC19" i="17"/>
  <c r="AC39" i="17" s="1"/>
  <c r="AB19" i="17"/>
  <c r="AB39" i="17" s="1"/>
  <c r="AA19" i="17"/>
  <c r="Z19" i="17"/>
  <c r="Y19" i="17"/>
  <c r="Y39" i="17" s="1"/>
  <c r="X19" i="17"/>
  <c r="X39" i="17" s="1"/>
  <c r="X43" i="17" s="1"/>
  <c r="W19" i="17"/>
  <c r="W39" i="17" s="1"/>
  <c r="AE17" i="17"/>
  <c r="AE37" i="17" s="1"/>
  <c r="AD17" i="17"/>
  <c r="AD37" i="17" s="1"/>
  <c r="AC17" i="17"/>
  <c r="AC37" i="17" s="1"/>
  <c r="AB17" i="17"/>
  <c r="AA17" i="17"/>
  <c r="Z17" i="17"/>
  <c r="Y17" i="17"/>
  <c r="X17" i="17"/>
  <c r="X37" i="17" s="1"/>
  <c r="W17" i="17"/>
  <c r="W37" i="17" s="1"/>
  <c r="V17" i="17"/>
  <c r="V37" i="17" s="1"/>
  <c r="N17" i="17"/>
  <c r="N16" i="17"/>
  <c r="AE14" i="17"/>
  <c r="AE46" i="17" s="1"/>
  <c r="AD14" i="17"/>
  <c r="AE15" i="17" s="1"/>
  <c r="Z14" i="17"/>
  <c r="X14" i="17"/>
  <c r="AF13" i="17"/>
  <c r="AE13" i="17"/>
  <c r="AD13" i="17"/>
  <c r="AC13" i="17"/>
  <c r="AB13" i="17"/>
  <c r="AA13" i="17"/>
  <c r="Z13" i="17"/>
  <c r="Y13" i="17"/>
  <c r="Y14" i="17" s="1"/>
  <c r="X13" i="17"/>
  <c r="W13" i="17"/>
  <c r="V13" i="17"/>
  <c r="AF12" i="17"/>
  <c r="AF14" i="17" s="1"/>
  <c r="AE12" i="17"/>
  <c r="AD12" i="17"/>
  <c r="AC12" i="17"/>
  <c r="AC14" i="17" s="1"/>
  <c r="AB12" i="17"/>
  <c r="AB14" i="17" s="1"/>
  <c r="AA12" i="17"/>
  <c r="AA14" i="17" s="1"/>
  <c r="Z12" i="17"/>
  <c r="Y12" i="17"/>
  <c r="X12" i="17"/>
  <c r="W12" i="17"/>
  <c r="W14" i="17" s="1"/>
  <c r="V12" i="17"/>
  <c r="V14" i="17" s="1"/>
  <c r="N11" i="17"/>
  <c r="AF9" i="17"/>
  <c r="AF25" i="17" s="1"/>
  <c r="AE9" i="17"/>
  <c r="AA9" i="17"/>
  <c r="AB10" i="17" s="1"/>
  <c r="Y9" i="17"/>
  <c r="Y45" i="17" s="1"/>
  <c r="AF8" i="17"/>
  <c r="AE8" i="17"/>
  <c r="AD8" i="17"/>
  <c r="AC8" i="17"/>
  <c r="AB8" i="17"/>
  <c r="AA8" i="17"/>
  <c r="Z8" i="17"/>
  <c r="Z9" i="17" s="1"/>
  <c r="Y8" i="17"/>
  <c r="X8" i="17"/>
  <c r="W8" i="17"/>
  <c r="V8" i="17"/>
  <c r="AF7" i="17"/>
  <c r="AE7" i="17"/>
  <c r="AD7" i="17"/>
  <c r="AD9" i="17" s="1"/>
  <c r="AC7" i="17"/>
  <c r="AC9" i="17" s="1"/>
  <c r="AB7" i="17"/>
  <c r="AB9" i="17" s="1"/>
  <c r="AA7" i="17"/>
  <c r="Z7" i="17"/>
  <c r="Y7" i="17"/>
  <c r="X7" i="17"/>
  <c r="X9" i="17" s="1"/>
  <c r="W7" i="17"/>
  <c r="W9" i="17" s="1"/>
  <c r="V7" i="17"/>
  <c r="V9" i="17" s="1"/>
  <c r="N13" i="17"/>
  <c r="G3" i="11" l="1"/>
  <c r="F3" i="11"/>
  <c r="Y43" i="17"/>
  <c r="Y43" i="19"/>
  <c r="AB43" i="19"/>
  <c r="AB43" i="17"/>
  <c r="Z43" i="17"/>
  <c r="W43" i="17"/>
  <c r="AD43" i="19"/>
  <c r="W43" i="19"/>
  <c r="O31" i="19"/>
  <c r="O8" i="19"/>
  <c r="AH13" i="19" s="1"/>
  <c r="O14" i="19"/>
  <c r="I27" i="20"/>
  <c r="M27" i="20"/>
  <c r="N33" i="20"/>
  <c r="G36" i="20"/>
  <c r="H36" i="20"/>
  <c r="L36" i="20"/>
  <c r="N9" i="20"/>
  <c r="N10" i="20" s="1"/>
  <c r="N11" i="20"/>
  <c r="N15" i="20"/>
  <c r="N24" i="20" s="1"/>
  <c r="N17" i="20"/>
  <c r="X45" i="19"/>
  <c r="Y10" i="19"/>
  <c r="Y29" i="19" s="1"/>
  <c r="X25" i="19"/>
  <c r="Y45" i="19"/>
  <c r="Z10" i="19"/>
  <c r="Y25" i="19"/>
  <c r="AB29" i="19"/>
  <c r="V26" i="19"/>
  <c r="V46" i="19"/>
  <c r="W15" i="19"/>
  <c r="X43" i="19"/>
  <c r="X15" i="19"/>
  <c r="W46" i="19"/>
  <c r="W26" i="19"/>
  <c r="Y15" i="19"/>
  <c r="X26" i="19"/>
  <c r="X46" i="19"/>
  <c r="AE50" i="19"/>
  <c r="AE30" i="19"/>
  <c r="Z50" i="19"/>
  <c r="Z30" i="19"/>
  <c r="AC10" i="19"/>
  <c r="AB10" i="19"/>
  <c r="AB25" i="19"/>
  <c r="AB45" i="19"/>
  <c r="AF26" i="19"/>
  <c r="AF15" i="19"/>
  <c r="AD10" i="19"/>
  <c r="AD49" i="19" s="1"/>
  <c r="AC25" i="19"/>
  <c r="AC45" i="19"/>
  <c r="AF29" i="19"/>
  <c r="AE10" i="19"/>
  <c r="AD25" i="19"/>
  <c r="AD45" i="19"/>
  <c r="P9" i="19"/>
  <c r="AB15" i="19"/>
  <c r="AA15" i="19"/>
  <c r="AA46" i="19"/>
  <c r="AA26" i="19"/>
  <c r="AC15" i="19"/>
  <c r="AB46" i="19"/>
  <c r="AB26" i="19"/>
  <c r="AD15" i="19"/>
  <c r="AC46" i="19"/>
  <c r="AC26" i="19"/>
  <c r="AE43" i="19"/>
  <c r="V25" i="19"/>
  <c r="V45" i="19"/>
  <c r="W10" i="19"/>
  <c r="W45" i="19"/>
  <c r="W25" i="19"/>
  <c r="X10" i="19"/>
  <c r="Z29" i="19"/>
  <c r="O17" i="19"/>
  <c r="N22" i="19"/>
  <c r="Y26" i="19"/>
  <c r="O34" i="19"/>
  <c r="Y37" i="19"/>
  <c r="Y49" i="19" s="1"/>
  <c r="O22" i="19"/>
  <c r="Z25" i="19"/>
  <c r="Z26" i="19"/>
  <c r="N33" i="19"/>
  <c r="Z37" i="19"/>
  <c r="Y46" i="19"/>
  <c r="O19" i="19"/>
  <c r="N27" i="19"/>
  <c r="O33" i="19"/>
  <c r="AA37" i="19"/>
  <c r="AE45" i="19"/>
  <c r="O13" i="19"/>
  <c r="N25" i="19"/>
  <c r="N26" i="19"/>
  <c r="O27" i="19"/>
  <c r="AB37" i="19"/>
  <c r="AF45" i="19"/>
  <c r="AA10" i="19"/>
  <c r="O25" i="19"/>
  <c r="O26" i="19"/>
  <c r="O11" i="19"/>
  <c r="AD26" i="19"/>
  <c r="N10" i="19"/>
  <c r="O16" i="19"/>
  <c r="N21" i="19"/>
  <c r="AE25" i="19"/>
  <c r="AE26" i="19"/>
  <c r="AD46" i="19"/>
  <c r="N9" i="19"/>
  <c r="O10" i="19"/>
  <c r="N15" i="19"/>
  <c r="N20" i="19"/>
  <c r="AG8" i="19" s="1"/>
  <c r="O21" i="19"/>
  <c r="O23" i="19"/>
  <c r="N32" i="19"/>
  <c r="AF37" i="19"/>
  <c r="AF49" i="19" s="1"/>
  <c r="P34" i="19"/>
  <c r="O9" i="19"/>
  <c r="O15" i="19"/>
  <c r="O20" i="19"/>
  <c r="P21" i="19"/>
  <c r="O32" i="19"/>
  <c r="H27" i="18"/>
  <c r="G36" i="18"/>
  <c r="N24" i="18"/>
  <c r="N33" i="18"/>
  <c r="I27" i="18"/>
  <c r="H36" i="18"/>
  <c r="N10" i="18"/>
  <c r="N11" i="18"/>
  <c r="N15" i="18"/>
  <c r="N17" i="18"/>
  <c r="O8" i="17"/>
  <c r="AH13" i="17" s="1"/>
  <c r="Z45" i="17"/>
  <c r="AA10" i="17"/>
  <c r="Z25" i="17"/>
  <c r="Y29" i="17"/>
  <c r="AC10" i="17"/>
  <c r="AB25" i="17"/>
  <c r="AB45" i="17"/>
  <c r="AF46" i="17"/>
  <c r="AF26" i="17"/>
  <c r="AF15" i="17"/>
  <c r="O14" i="17"/>
  <c r="O15" i="17"/>
  <c r="O23" i="17"/>
  <c r="O16" i="17"/>
  <c r="O11" i="17"/>
  <c r="O26" i="17"/>
  <c r="O25" i="17"/>
  <c r="O33" i="17"/>
  <c r="O22" i="17"/>
  <c r="P21" i="17"/>
  <c r="O31" i="17"/>
  <c r="O19" i="17"/>
  <c r="O34" i="17"/>
  <c r="O17" i="17"/>
  <c r="Z15" i="17"/>
  <c r="Y46" i="17"/>
  <c r="Y26" i="17"/>
  <c r="AD10" i="17"/>
  <c r="AD49" i="17" s="1"/>
  <c r="AC25" i="17"/>
  <c r="AC45" i="17"/>
  <c r="O13" i="17"/>
  <c r="Y15" i="17"/>
  <c r="V25" i="17"/>
  <c r="V45" i="17"/>
  <c r="W10" i="17"/>
  <c r="W29" i="17" s="1"/>
  <c r="AE10" i="17"/>
  <c r="AE49" i="17" s="1"/>
  <c r="AD25" i="17"/>
  <c r="AD45" i="17"/>
  <c r="V26" i="17"/>
  <c r="W15" i="17"/>
  <c r="V46" i="17"/>
  <c r="AA15" i="17"/>
  <c r="AB29" i="17"/>
  <c r="X15" i="17"/>
  <c r="W46" i="17"/>
  <c r="W26" i="17"/>
  <c r="AE50" i="17"/>
  <c r="AE30" i="17"/>
  <c r="X45" i="17"/>
  <c r="Y10" i="17"/>
  <c r="X25" i="17"/>
  <c r="AF10" i="17"/>
  <c r="AE25" i="17"/>
  <c r="AE45" i="17"/>
  <c r="AC15" i="17"/>
  <c r="AB46" i="17"/>
  <c r="AB26" i="17"/>
  <c r="W45" i="17"/>
  <c r="W25" i="17"/>
  <c r="X10" i="17"/>
  <c r="X49" i="17" s="1"/>
  <c r="AB15" i="17"/>
  <c r="AA46" i="17"/>
  <c r="AA26" i="17"/>
  <c r="O10" i="17"/>
  <c r="N10" i="17"/>
  <c r="AD15" i="17"/>
  <c r="AC46" i="17"/>
  <c r="AC26" i="17"/>
  <c r="AC49" i="17"/>
  <c r="N22" i="17"/>
  <c r="Y25" i="17"/>
  <c r="Y37" i="17"/>
  <c r="Y49" i="17" s="1"/>
  <c r="X46" i="17"/>
  <c r="Z26" i="17"/>
  <c r="N33" i="17"/>
  <c r="Z37" i="17"/>
  <c r="X26" i="17"/>
  <c r="AA25" i="17"/>
  <c r="N27" i="17"/>
  <c r="AA37" i="17"/>
  <c r="Z46" i="17"/>
  <c r="Z10" i="17"/>
  <c r="N25" i="17"/>
  <c r="N26" i="17"/>
  <c r="O27" i="17"/>
  <c r="AB37" i="17"/>
  <c r="AB49" i="17" s="1"/>
  <c r="AF45" i="17"/>
  <c r="AD26" i="17"/>
  <c r="N21" i="17"/>
  <c r="AE26" i="17"/>
  <c r="AD46" i="17"/>
  <c r="N9" i="17"/>
  <c r="N15" i="17"/>
  <c r="N20" i="17"/>
  <c r="O21" i="17"/>
  <c r="N32" i="17"/>
  <c r="AF37" i="17"/>
  <c r="O9" i="17"/>
  <c r="N14" i="17"/>
  <c r="O20" i="17"/>
  <c r="O32" i="17"/>
  <c r="O12" i="19" l="1"/>
  <c r="H3" i="11"/>
  <c r="AG8" i="17"/>
  <c r="N24" i="17"/>
  <c r="AG12" i="17"/>
  <c r="N13" i="20"/>
  <c r="N16" i="20" s="1"/>
  <c r="N18" i="20" s="1"/>
  <c r="N20" i="20" s="1"/>
  <c r="O18" i="19"/>
  <c r="P10" i="19"/>
  <c r="P20" i="19"/>
  <c r="P32" i="19"/>
  <c r="AH12" i="19"/>
  <c r="AH14" i="19" s="1"/>
  <c r="AH26" i="19" s="1"/>
  <c r="N22" i="20"/>
  <c r="O17" i="20"/>
  <c r="O15" i="20"/>
  <c r="O11" i="20"/>
  <c r="O9" i="20"/>
  <c r="O10" i="20" s="1"/>
  <c r="O14" i="20"/>
  <c r="O12" i="20"/>
  <c r="N32" i="20"/>
  <c r="N34" i="20" s="1"/>
  <c r="N23" i="20"/>
  <c r="N25" i="20" s="1"/>
  <c r="N24" i="19"/>
  <c r="N28" i="19" s="1"/>
  <c r="AA49" i="19"/>
  <c r="AC29" i="19"/>
  <c r="AD29" i="19"/>
  <c r="W50" i="19"/>
  <c r="W30" i="19"/>
  <c r="AE29" i="19"/>
  <c r="AE49" i="19"/>
  <c r="N12" i="19"/>
  <c r="N18" i="19" s="1"/>
  <c r="AG7" i="19"/>
  <c r="AG9" i="19" s="1"/>
  <c r="Z49" i="19"/>
  <c r="W29" i="19"/>
  <c r="AA29" i="19"/>
  <c r="AB49" i="19"/>
  <c r="AC49" i="19"/>
  <c r="X49" i="19"/>
  <c r="X29" i="19"/>
  <c r="Y30" i="19"/>
  <c r="Y50" i="19"/>
  <c r="O24" i="19"/>
  <c r="O28" i="19" s="1"/>
  <c r="AH8" i="19"/>
  <c r="AH7" i="19"/>
  <c r="AG12" i="19"/>
  <c r="AG14" i="19" s="1"/>
  <c r="AA30" i="19"/>
  <c r="AA50" i="19"/>
  <c r="AD50" i="19"/>
  <c r="AD30" i="19"/>
  <c r="AF50" i="19"/>
  <c r="AF30" i="19"/>
  <c r="W49" i="19"/>
  <c r="P15" i="19"/>
  <c r="P13" i="19"/>
  <c r="P14" i="19"/>
  <c r="P23" i="19"/>
  <c r="P16" i="19"/>
  <c r="P11" i="19"/>
  <c r="P26" i="19"/>
  <c r="P25" i="19"/>
  <c r="P27" i="19"/>
  <c r="P33" i="19"/>
  <c r="P36" i="19"/>
  <c r="P19" i="19"/>
  <c r="P8" i="19"/>
  <c r="P22" i="19"/>
  <c r="P31" i="19"/>
  <c r="P17" i="19"/>
  <c r="AC30" i="19"/>
  <c r="AC50" i="19"/>
  <c r="AB30" i="19"/>
  <c r="AB50" i="19"/>
  <c r="X50" i="19"/>
  <c r="X30" i="19"/>
  <c r="N13" i="18"/>
  <c r="N32" i="18"/>
  <c r="N34" i="18" s="1"/>
  <c r="N23" i="18"/>
  <c r="N25" i="18" s="1"/>
  <c r="O17" i="18"/>
  <c r="O15" i="18"/>
  <c r="O11" i="18"/>
  <c r="O9" i="18"/>
  <c r="O10" i="18" s="1"/>
  <c r="O14" i="18"/>
  <c r="O12" i="18"/>
  <c r="AH12" i="17"/>
  <c r="AH14" i="17" s="1"/>
  <c r="AH46" i="17" s="1"/>
  <c r="P10" i="17"/>
  <c r="P9" i="17"/>
  <c r="P20" i="17"/>
  <c r="Z49" i="17"/>
  <c r="AH7" i="17"/>
  <c r="AB50" i="17"/>
  <c r="AB30" i="17"/>
  <c r="AG13" i="17"/>
  <c r="AG14" i="17" s="1"/>
  <c r="N12" i="17"/>
  <c r="N18" i="17" s="1"/>
  <c r="AD50" i="17"/>
  <c r="AD30" i="17"/>
  <c r="AA30" i="17"/>
  <c r="AA50" i="17"/>
  <c r="AF50" i="17"/>
  <c r="AF30" i="17"/>
  <c r="AF49" i="17"/>
  <c r="AD29" i="17"/>
  <c r="Z30" i="17"/>
  <c r="Z50" i="17"/>
  <c r="AA49" i="17"/>
  <c r="Z29" i="17"/>
  <c r="AC50" i="17"/>
  <c r="AC30" i="17"/>
  <c r="O24" i="17"/>
  <c r="O28" i="17" s="1"/>
  <c r="AH8" i="17"/>
  <c r="N28" i="17"/>
  <c r="W50" i="17"/>
  <c r="W30" i="17"/>
  <c r="AA29" i="17"/>
  <c r="W49" i="17"/>
  <c r="O12" i="17"/>
  <c r="O18" i="17" s="1"/>
  <c r="Y30" i="17"/>
  <c r="Y50" i="17"/>
  <c r="X29" i="17"/>
  <c r="P15" i="17"/>
  <c r="P23" i="17"/>
  <c r="P16" i="17"/>
  <c r="P11" i="17"/>
  <c r="P26" i="17"/>
  <c r="P25" i="17"/>
  <c r="P27" i="17"/>
  <c r="P33" i="17"/>
  <c r="P31" i="17"/>
  <c r="P22" i="17"/>
  <c r="P36" i="17"/>
  <c r="P13" i="17"/>
  <c r="P14" i="17"/>
  <c r="P34" i="17"/>
  <c r="P17" i="17"/>
  <c r="P19" i="17"/>
  <c r="P8" i="17"/>
  <c r="P32" i="17"/>
  <c r="X50" i="17"/>
  <c r="X30" i="17"/>
  <c r="AF29" i="17"/>
  <c r="AG7" i="17"/>
  <c r="AG9" i="17" s="1"/>
  <c r="AE29" i="17"/>
  <c r="AC29" i="17"/>
  <c r="N31" i="20" l="1"/>
  <c r="O35" i="19"/>
  <c r="J3" i="11"/>
  <c r="I3" i="11"/>
  <c r="AH26" i="17"/>
  <c r="O13" i="20"/>
  <c r="O16" i="20" s="1"/>
  <c r="O18" i="20" s="1"/>
  <c r="O20" i="20" s="1"/>
  <c r="AH46" i="19"/>
  <c r="AI7" i="19"/>
  <c r="AH9" i="19"/>
  <c r="AH45" i="19" s="1"/>
  <c r="F5" i="14" s="1"/>
  <c r="O33" i="20"/>
  <c r="O24" i="20"/>
  <c r="P17" i="20"/>
  <c r="P15" i="20"/>
  <c r="P11" i="20"/>
  <c r="P9" i="20"/>
  <c r="P12" i="20"/>
  <c r="P10" i="20"/>
  <c r="P13" i="20" s="1"/>
  <c r="P14" i="20"/>
  <c r="N36" i="20"/>
  <c r="O32" i="20"/>
  <c r="O23" i="20"/>
  <c r="N27" i="20"/>
  <c r="AG25" i="19"/>
  <c r="AG45" i="19"/>
  <c r="E5" i="14" s="1"/>
  <c r="AG10" i="19"/>
  <c r="N35" i="19"/>
  <c r="N37" i="19"/>
  <c r="AG46" i="19"/>
  <c r="AG26" i="19"/>
  <c r="AH15" i="19"/>
  <c r="AG15" i="19"/>
  <c r="P24" i="19"/>
  <c r="P28" i="19" s="1"/>
  <c r="AI8" i="19"/>
  <c r="AI9" i="19" s="1"/>
  <c r="AI10" i="19" s="1"/>
  <c r="AI12" i="19"/>
  <c r="O37" i="19"/>
  <c r="Q23" i="19"/>
  <c r="Q14" i="19"/>
  <c r="Q15" i="19"/>
  <c r="Q16" i="19"/>
  <c r="Q26" i="19"/>
  <c r="Q25" i="19"/>
  <c r="Q8" i="19"/>
  <c r="Q27" i="19"/>
  <c r="Q33" i="19"/>
  <c r="Q22" i="19"/>
  <c r="Q20" i="19"/>
  <c r="Q17" i="19"/>
  <c r="Q32" i="19"/>
  <c r="Q9" i="19"/>
  <c r="Q36" i="19"/>
  <c r="Q13" i="19"/>
  <c r="Q11" i="19"/>
  <c r="Q21" i="19"/>
  <c r="Q31" i="19"/>
  <c r="Q34" i="19"/>
  <c r="Q10" i="19"/>
  <c r="Q19" i="19"/>
  <c r="AI13" i="19"/>
  <c r="P12" i="19"/>
  <c r="P18" i="19" s="1"/>
  <c r="P17" i="18"/>
  <c r="P15" i="18"/>
  <c r="P11" i="18"/>
  <c r="P9" i="18"/>
  <c r="P10" i="18" s="1"/>
  <c r="P14" i="18"/>
  <c r="P12" i="18"/>
  <c r="O13" i="18"/>
  <c r="N31" i="18"/>
  <c r="N36" i="18" s="1"/>
  <c r="N22" i="18"/>
  <c r="N27" i="18" s="1"/>
  <c r="N16" i="18"/>
  <c r="N18" i="18" s="1"/>
  <c r="N20" i="18" s="1"/>
  <c r="O24" i="18"/>
  <c r="O33" i="18"/>
  <c r="O32" i="18"/>
  <c r="O23" i="18"/>
  <c r="AI7" i="17"/>
  <c r="AG46" i="17"/>
  <c r="AG26" i="17"/>
  <c r="AH15" i="17"/>
  <c r="AG15" i="17"/>
  <c r="AI13" i="17"/>
  <c r="P12" i="17"/>
  <c r="P18" i="17" s="1"/>
  <c r="P24" i="17"/>
  <c r="P28" i="17" s="1"/>
  <c r="AI8" i="17"/>
  <c r="AH9" i="17"/>
  <c r="Q23" i="17"/>
  <c r="Q16" i="17"/>
  <c r="Q26" i="17"/>
  <c r="Q25" i="17"/>
  <c r="Q27" i="17"/>
  <c r="Q33" i="17"/>
  <c r="Q22" i="17"/>
  <c r="Q34" i="17"/>
  <c r="Q17" i="17"/>
  <c r="Q8" i="17"/>
  <c r="Q32" i="17"/>
  <c r="Q20" i="17"/>
  <c r="Q36" i="17"/>
  <c r="Q13" i="17"/>
  <c r="Q14" i="17"/>
  <c r="Q15" i="17"/>
  <c r="Q9" i="17"/>
  <c r="Q31" i="17"/>
  <c r="Q11" i="17"/>
  <c r="Q10" i="17"/>
  <c r="Q19" i="17"/>
  <c r="Q21" i="17"/>
  <c r="N35" i="17"/>
  <c r="N37" i="17"/>
  <c r="AG25" i="17"/>
  <c r="AG45" i="17"/>
  <c r="E5" i="11" s="1"/>
  <c r="AG10" i="17"/>
  <c r="AI12" i="17"/>
  <c r="O35" i="17"/>
  <c r="O37" i="17"/>
  <c r="AH25" i="19" l="1"/>
  <c r="AH10" i="19"/>
  <c r="O34" i="18"/>
  <c r="O31" i="20"/>
  <c r="O22" i="20"/>
  <c r="P31" i="20"/>
  <c r="P22" i="20"/>
  <c r="P16" i="20"/>
  <c r="P18" i="20" s="1"/>
  <c r="P20" i="20" s="1"/>
  <c r="Q17" i="20"/>
  <c r="Q15" i="20"/>
  <c r="Q11" i="20"/>
  <c r="Q9" i="20"/>
  <c r="Q10" i="20" s="1"/>
  <c r="Q12" i="20"/>
  <c r="Q14" i="20"/>
  <c r="P32" i="20"/>
  <c r="P23" i="20"/>
  <c r="O25" i="20"/>
  <c r="O34" i="20"/>
  <c r="O27" i="20"/>
  <c r="O36" i="20"/>
  <c r="P33" i="20"/>
  <c r="P24" i="20"/>
  <c r="AJ7" i="19"/>
  <c r="AH19" i="19"/>
  <c r="AH50" i="19" s="1"/>
  <c r="AG19" i="19"/>
  <c r="AG30" i="19" s="1"/>
  <c r="AG50" i="19"/>
  <c r="AJ13" i="19"/>
  <c r="Q12" i="19"/>
  <c r="Q18" i="19" s="1"/>
  <c r="R16" i="19"/>
  <c r="R21" i="19"/>
  <c r="R11" i="19"/>
  <c r="R26" i="19"/>
  <c r="R25" i="19"/>
  <c r="R27" i="19"/>
  <c r="R33" i="19"/>
  <c r="R22" i="19"/>
  <c r="R17" i="19"/>
  <c r="R23" i="19"/>
  <c r="R9" i="19"/>
  <c r="R36" i="19"/>
  <c r="R13" i="19"/>
  <c r="R32" i="19"/>
  <c r="R10" i="19"/>
  <c r="R15" i="19"/>
  <c r="R31" i="19"/>
  <c r="R8" i="19"/>
  <c r="R14" i="19"/>
  <c r="R19" i="19"/>
  <c r="R20" i="19"/>
  <c r="R34" i="19"/>
  <c r="P35" i="19"/>
  <c r="P37" i="19"/>
  <c r="AI19" i="19"/>
  <c r="AI25" i="19"/>
  <c r="AI45" i="19"/>
  <c r="G5" i="14" s="1"/>
  <c r="Q24" i="19"/>
  <c r="Q28" i="19" s="1"/>
  <c r="AJ8" i="19"/>
  <c r="AI14" i="19"/>
  <c r="AJ12" i="19"/>
  <c r="O25" i="18"/>
  <c r="P33" i="18"/>
  <c r="P24" i="18"/>
  <c r="Q17" i="18"/>
  <c r="Q15" i="18"/>
  <c r="Q11" i="18"/>
  <c r="Q9" i="18"/>
  <c r="Q10" i="18" s="1"/>
  <c r="Q12" i="18"/>
  <c r="Q14" i="18"/>
  <c r="P13" i="18"/>
  <c r="P32" i="18"/>
  <c r="P23" i="18"/>
  <c r="O31" i="18"/>
  <c r="O36" i="18" s="1"/>
  <c r="O22" i="18"/>
  <c r="O27" i="18" s="1"/>
  <c r="O16" i="18"/>
  <c r="O18" i="18" s="1"/>
  <c r="O20" i="18" s="1"/>
  <c r="AI14" i="17"/>
  <c r="AI26" i="17" s="1"/>
  <c r="AI9" i="17"/>
  <c r="AI45" i="17" s="1"/>
  <c r="G5" i="11" s="1"/>
  <c r="Q24" i="17"/>
  <c r="Q28" i="17" s="1"/>
  <c r="AJ8" i="17"/>
  <c r="AJ13" i="17"/>
  <c r="Q12" i="17"/>
  <c r="Q18" i="17" s="1"/>
  <c r="AH25" i="17"/>
  <c r="AH45" i="17"/>
  <c r="F5" i="11" s="1"/>
  <c r="AI10" i="17"/>
  <c r="AJ12" i="17"/>
  <c r="P35" i="17"/>
  <c r="P37" i="17"/>
  <c r="AI19" i="17" s="1"/>
  <c r="AH10" i="17"/>
  <c r="AJ7" i="17"/>
  <c r="AH19" i="17"/>
  <c r="AG19" i="17"/>
  <c r="AG50" i="17" s="1"/>
  <c r="R16" i="17"/>
  <c r="R26" i="17"/>
  <c r="R25" i="17"/>
  <c r="R27" i="17"/>
  <c r="R33" i="17"/>
  <c r="R22" i="17"/>
  <c r="R34" i="17"/>
  <c r="R17" i="17"/>
  <c r="R15" i="17"/>
  <c r="R9" i="17"/>
  <c r="R32" i="17"/>
  <c r="R36" i="17"/>
  <c r="R13" i="17"/>
  <c r="R23" i="17"/>
  <c r="R14" i="17"/>
  <c r="R21" i="17"/>
  <c r="R10" i="17"/>
  <c r="R20" i="17"/>
  <c r="R19" i="17"/>
  <c r="R8" i="17"/>
  <c r="R31" i="17"/>
  <c r="R11" i="17"/>
  <c r="AI25" i="17" l="1"/>
  <c r="AI46" i="17"/>
  <c r="AI15" i="17"/>
  <c r="AI30" i="17" s="1"/>
  <c r="AJ9" i="17"/>
  <c r="AK12" i="17"/>
  <c r="Q13" i="20"/>
  <c r="Q31" i="20" s="1"/>
  <c r="P34" i="20"/>
  <c r="P36" i="20" s="1"/>
  <c r="AH30" i="19"/>
  <c r="Q33" i="20"/>
  <c r="Q24" i="20"/>
  <c r="R15" i="20"/>
  <c r="R11" i="20"/>
  <c r="R9" i="20"/>
  <c r="R10" i="20" s="1"/>
  <c r="R12" i="20"/>
  <c r="R14" i="20"/>
  <c r="R17" i="20"/>
  <c r="Q32" i="20"/>
  <c r="Q23" i="20"/>
  <c r="P25" i="20"/>
  <c r="P27" i="20" s="1"/>
  <c r="AK13" i="19"/>
  <c r="R12" i="19"/>
  <c r="R18" i="19" s="1"/>
  <c r="AI39" i="19"/>
  <c r="AG39" i="19"/>
  <c r="AH39" i="19"/>
  <c r="AJ9" i="19"/>
  <c r="AK7" i="19"/>
  <c r="AJ14" i="19"/>
  <c r="S26" i="19"/>
  <c r="S25" i="19"/>
  <c r="S33" i="19"/>
  <c r="S22" i="19"/>
  <c r="S34" i="19"/>
  <c r="S30" i="19"/>
  <c r="S17" i="19"/>
  <c r="S29" i="19"/>
  <c r="S16" i="19"/>
  <c r="S36" i="19"/>
  <c r="S13" i="19"/>
  <c r="S21" i="19"/>
  <c r="S15" i="19"/>
  <c r="S23" i="19"/>
  <c r="S9" i="19"/>
  <c r="S8" i="19"/>
  <c r="S20" i="19"/>
  <c r="S19" i="19"/>
  <c r="S31" i="19"/>
  <c r="S11" i="19"/>
  <c r="S14" i="19"/>
  <c r="S10" i="19"/>
  <c r="S32" i="19"/>
  <c r="S27" i="19"/>
  <c r="AI46" i="19"/>
  <c r="AI26" i="19"/>
  <c r="AJ15" i="19"/>
  <c r="AI15" i="19"/>
  <c r="R24" i="19"/>
  <c r="R28" i="19" s="1"/>
  <c r="AK8" i="19"/>
  <c r="AK12" i="19"/>
  <c r="Q35" i="19"/>
  <c r="Q37" i="19"/>
  <c r="AJ19" i="19" s="1"/>
  <c r="Q13" i="18"/>
  <c r="Q31" i="18" s="1"/>
  <c r="P25" i="18"/>
  <c r="P31" i="18"/>
  <c r="P22" i="18"/>
  <c r="P27" i="18" s="1"/>
  <c r="P16" i="18"/>
  <c r="P18" i="18" s="1"/>
  <c r="P20" i="18" s="1"/>
  <c r="R15" i="18"/>
  <c r="R11" i="18"/>
  <c r="R9" i="18"/>
  <c r="R10" i="18" s="1"/>
  <c r="R17" i="18"/>
  <c r="R12" i="18"/>
  <c r="R14" i="18"/>
  <c r="Q32" i="18"/>
  <c r="Q23" i="18"/>
  <c r="Q33" i="18"/>
  <c r="Q24" i="18"/>
  <c r="P34" i="18"/>
  <c r="AG30" i="17"/>
  <c r="AH39" i="17"/>
  <c r="AJ45" i="17"/>
  <c r="H5" i="11" s="1"/>
  <c r="AJ25" i="17"/>
  <c r="Q35" i="17"/>
  <c r="Q37" i="17"/>
  <c r="AJ14" i="17"/>
  <c r="S26" i="17"/>
  <c r="S25" i="17"/>
  <c r="S33" i="17"/>
  <c r="S22" i="17"/>
  <c r="S34" i="17"/>
  <c r="S30" i="17"/>
  <c r="S17" i="17"/>
  <c r="S36" i="17"/>
  <c r="S13" i="17"/>
  <c r="S14" i="17"/>
  <c r="S29" i="17"/>
  <c r="S23" i="17"/>
  <c r="S15" i="17"/>
  <c r="S21" i="17"/>
  <c r="S16" i="17"/>
  <c r="S32" i="17"/>
  <c r="S27" i="17"/>
  <c r="S9" i="17"/>
  <c r="S10" i="17"/>
  <c r="S31" i="17"/>
  <c r="S11" i="17"/>
  <c r="S20" i="17"/>
  <c r="S19" i="17"/>
  <c r="S8" i="17"/>
  <c r="AH30" i="17"/>
  <c r="AK7" i="17"/>
  <c r="AH50" i="17"/>
  <c r="AI39" i="17"/>
  <c r="AK13" i="17"/>
  <c r="AK14" i="17" s="1"/>
  <c r="R12" i="17"/>
  <c r="R18" i="17" s="1"/>
  <c r="R24" i="17"/>
  <c r="R28" i="17" s="1"/>
  <c r="AK8" i="17"/>
  <c r="AJ10" i="17"/>
  <c r="AG39" i="17"/>
  <c r="AI50" i="17" l="1"/>
  <c r="AL12" i="17"/>
  <c r="AK9" i="17"/>
  <c r="AK10" i="17" s="1"/>
  <c r="Q16" i="20"/>
  <c r="Q18" i="20" s="1"/>
  <c r="Q20" i="20" s="1"/>
  <c r="Q22" i="20"/>
  <c r="AL12" i="19"/>
  <c r="AK14" i="19"/>
  <c r="AK15" i="19" s="1"/>
  <c r="R33" i="20"/>
  <c r="R24" i="20"/>
  <c r="S11" i="20"/>
  <c r="S9" i="20"/>
  <c r="S10" i="20" s="1"/>
  <c r="S15" i="20"/>
  <c r="S12" i="20"/>
  <c r="S17" i="20"/>
  <c r="S14" i="20"/>
  <c r="R13" i="20"/>
  <c r="Q34" i="20"/>
  <c r="Q36" i="20" s="1"/>
  <c r="Q25" i="20"/>
  <c r="Q27" i="20" s="1"/>
  <c r="R32" i="20"/>
  <c r="R23" i="20"/>
  <c r="S24" i="19"/>
  <c r="S28" i="19" s="1"/>
  <c r="AL8" i="19"/>
  <c r="AI50" i="19"/>
  <c r="AI30" i="19"/>
  <c r="AJ45" i="19"/>
  <c r="H5" i="14" s="1"/>
  <c r="AJ25" i="19"/>
  <c r="AJ10" i="19"/>
  <c r="AL13" i="19"/>
  <c r="S12" i="19"/>
  <c r="S18" i="19" s="1"/>
  <c r="AJ39" i="19"/>
  <c r="AK9" i="19"/>
  <c r="AK10" i="19" s="1"/>
  <c r="AL7" i="19"/>
  <c r="AK46" i="19"/>
  <c r="AK26" i="19"/>
  <c r="AJ46" i="19"/>
  <c r="AJ26" i="19"/>
  <c r="R35" i="19"/>
  <c r="R37" i="19"/>
  <c r="AJ50" i="19"/>
  <c r="AJ30" i="19"/>
  <c r="Q16" i="18"/>
  <c r="Q18" i="18" s="1"/>
  <c r="Q20" i="18" s="1"/>
  <c r="Q22" i="18"/>
  <c r="R13" i="18"/>
  <c r="R16" i="18" s="1"/>
  <c r="R18" i="18" s="1"/>
  <c r="R20" i="18" s="1"/>
  <c r="R31" i="18"/>
  <c r="R22" i="18"/>
  <c r="Q25" i="18"/>
  <c r="Q34" i="18"/>
  <c r="Q36" i="18" s="1"/>
  <c r="R32" i="18"/>
  <c r="R23" i="18"/>
  <c r="P36" i="18"/>
  <c r="R33" i="18"/>
  <c r="R24" i="18"/>
  <c r="S9" i="18"/>
  <c r="S10" i="18" s="1"/>
  <c r="S14" i="18"/>
  <c r="S12" i="18"/>
  <c r="S11" i="18"/>
  <c r="S15" i="18"/>
  <c r="S17" i="18"/>
  <c r="AL7" i="17"/>
  <c r="AK46" i="17"/>
  <c r="AK26" i="17"/>
  <c r="S24" i="17"/>
  <c r="S28" i="17" s="1"/>
  <c r="AL8" i="17"/>
  <c r="AL13" i="17"/>
  <c r="AL14" i="17" s="1"/>
  <c r="S12" i="17"/>
  <c r="S18" i="17" s="1"/>
  <c r="R35" i="17"/>
  <c r="R37" i="17"/>
  <c r="AK19" i="17" s="1"/>
  <c r="AK15" i="17"/>
  <c r="AJ26" i="17"/>
  <c r="AJ46" i="17"/>
  <c r="AJ15" i="17"/>
  <c r="AJ19" i="17"/>
  <c r="AL14" i="19" l="1"/>
  <c r="Q27" i="18"/>
  <c r="AK25" i="17"/>
  <c r="AK45" i="17"/>
  <c r="I5" i="11" s="1"/>
  <c r="R25" i="20"/>
  <c r="R34" i="20"/>
  <c r="AL9" i="19"/>
  <c r="AL45" i="19" s="1"/>
  <c r="J5" i="14" s="1"/>
  <c r="R31" i="20"/>
  <c r="R36" i="20" s="1"/>
  <c r="R22" i="20"/>
  <c r="R16" i="20"/>
  <c r="R18" i="20" s="1"/>
  <c r="R20" i="20" s="1"/>
  <c r="S13" i="20"/>
  <c r="S33" i="20"/>
  <c r="S24" i="20"/>
  <c r="S23" i="20"/>
  <c r="S25" i="20" s="1"/>
  <c r="S32" i="20"/>
  <c r="S35" i="19"/>
  <c r="S37" i="19"/>
  <c r="AL19" i="19" s="1"/>
  <c r="AK19" i="19"/>
  <c r="AL46" i="19"/>
  <c r="AL26" i="19"/>
  <c r="AL15" i="19"/>
  <c r="AK45" i="19"/>
  <c r="I5" i="14" s="1"/>
  <c r="AL10" i="19"/>
  <c r="AK25" i="19"/>
  <c r="R34" i="18"/>
  <c r="R36" i="18" s="1"/>
  <c r="R25" i="18"/>
  <c r="R27" i="18"/>
  <c r="S13" i="18"/>
  <c r="S23" i="18"/>
  <c r="S32" i="18"/>
  <c r="S33" i="18"/>
  <c r="S24" i="18"/>
  <c r="AL9" i="17"/>
  <c r="AL25" i="17" s="1"/>
  <c r="AL46" i="17"/>
  <c r="AL26" i="17"/>
  <c r="AL15" i="17"/>
  <c r="AK39" i="17"/>
  <c r="AJ39" i="17"/>
  <c r="AJ50" i="17"/>
  <c r="AJ30" i="17"/>
  <c r="AK30" i="17"/>
  <c r="AK50" i="17"/>
  <c r="S37" i="17"/>
  <c r="AL19" i="17" s="1"/>
  <c r="S35" i="17"/>
  <c r="S34" i="20" l="1"/>
  <c r="AL25" i="19"/>
  <c r="AL45" i="17"/>
  <c r="J5" i="11" s="1"/>
  <c r="AL10" i="17"/>
  <c r="R27" i="20"/>
  <c r="S31" i="20"/>
  <c r="S36" i="20" s="1"/>
  <c r="S22" i="20"/>
  <c r="S27" i="20" s="1"/>
  <c r="S16" i="20"/>
  <c r="S18" i="20" s="1"/>
  <c r="S20" i="20" s="1"/>
  <c r="AL30" i="19"/>
  <c r="AL50" i="19"/>
  <c r="AL39" i="19"/>
  <c r="AK39" i="19"/>
  <c r="AK50" i="19"/>
  <c r="AK30" i="19"/>
  <c r="S31" i="18"/>
  <c r="S22" i="18"/>
  <c r="S16" i="18"/>
  <c r="S18" i="18" s="1"/>
  <c r="S20" i="18" s="1"/>
  <c r="S34" i="18"/>
  <c r="S25" i="18"/>
  <c r="AL39" i="17"/>
  <c r="AL30" i="17"/>
  <c r="AL50" i="17"/>
  <c r="S27" i="18" l="1"/>
  <c r="S36" i="18"/>
  <c r="N8" i="1" l="1"/>
  <c r="B28" i="15"/>
  <c r="B27" i="15"/>
  <c r="M44" i="1"/>
  <c r="M45" i="1"/>
  <c r="M47" i="1"/>
  <c r="M48" i="1"/>
  <c r="M49" i="1"/>
  <c r="M50" i="1"/>
  <c r="M51" i="1"/>
  <c r="M53" i="1"/>
  <c r="N19" i="1" s="1"/>
  <c r="M54" i="1"/>
  <c r="M55" i="1"/>
  <c r="M56" i="1"/>
  <c r="M57" i="1"/>
  <c r="N23" i="1" s="1"/>
  <c r="M59" i="1"/>
  <c r="M60" i="1"/>
  <c r="M61" i="1"/>
  <c r="M65" i="1"/>
  <c r="M66" i="1"/>
  <c r="M67" i="1"/>
  <c r="M68" i="1"/>
  <c r="M70" i="1"/>
  <c r="B22" i="15"/>
  <c r="B18" i="15"/>
  <c r="B23" i="15" s="1"/>
  <c r="C22" i="14"/>
  <c r="D6" i="8" s="1"/>
  <c r="B26" i="1"/>
  <c r="I8" i="14"/>
  <c r="H8" i="14"/>
  <c r="G8" i="14"/>
  <c r="F8" i="14"/>
  <c r="E8" i="14"/>
  <c r="I8" i="11"/>
  <c r="H8" i="11"/>
  <c r="G8" i="11"/>
  <c r="F8" i="11"/>
  <c r="E8" i="11"/>
  <c r="C12" i="11"/>
  <c r="C22" i="11"/>
  <c r="C6" i="8" s="1"/>
  <c r="F8" i="7"/>
  <c r="G8" i="7"/>
  <c r="H8" i="7"/>
  <c r="I8" i="7"/>
  <c r="E8" i="7"/>
  <c r="E3" i="7"/>
  <c r="D3" i="7"/>
  <c r="AF19" i="1"/>
  <c r="M23" i="2"/>
  <c r="M25" i="2" s="1"/>
  <c r="M32" i="2"/>
  <c r="M33" i="2"/>
  <c r="M31" i="2"/>
  <c r="M24" i="2"/>
  <c r="M22" i="2"/>
  <c r="M27" i="2" s="1"/>
  <c r="M50" i="2"/>
  <c r="N32" i="2" s="1"/>
  <c r="N15" i="2"/>
  <c r="M44" i="2"/>
  <c r="N11" i="2" s="1"/>
  <c r="M45" i="2"/>
  <c r="N12" i="2" s="1"/>
  <c r="M47" i="2"/>
  <c r="N14" i="2" s="1"/>
  <c r="M48" i="2"/>
  <c r="N9" i="2"/>
  <c r="N10" i="2" s="1"/>
  <c r="N13" i="2" s="1"/>
  <c r="AF17" i="1"/>
  <c r="AF37" i="1" s="1"/>
  <c r="AF12" i="1"/>
  <c r="AF8" i="1"/>
  <c r="AF7" i="1"/>
  <c r="AG17" i="1"/>
  <c r="AG37" i="1" s="1"/>
  <c r="AF24" i="19" l="1"/>
  <c r="AF18" i="1"/>
  <c r="AF24" i="1" s="1"/>
  <c r="AF28" i="1" s="1"/>
  <c r="N33" i="2"/>
  <c r="N24" i="2"/>
  <c r="O11" i="2"/>
  <c r="Q25" i="1"/>
  <c r="P32" i="1"/>
  <c r="P22" i="1"/>
  <c r="Q13" i="1"/>
  <c r="Q26" i="1"/>
  <c r="Q11" i="1"/>
  <c r="P33" i="1"/>
  <c r="P36" i="1"/>
  <c r="Q10" i="1"/>
  <c r="N21" i="1"/>
  <c r="P34" i="1"/>
  <c r="N34" i="2"/>
  <c r="N22" i="2"/>
  <c r="N16" i="2"/>
  <c r="N18" i="2" s="1"/>
  <c r="N20" i="2" s="1"/>
  <c r="N31" i="2"/>
  <c r="N36" i="2" s="1"/>
  <c r="N23" i="2"/>
  <c r="P17" i="1"/>
  <c r="Q32" i="1"/>
  <c r="AG13" i="1"/>
  <c r="Q16" i="1"/>
  <c r="Q27" i="1"/>
  <c r="N9" i="1"/>
  <c r="P15" i="1"/>
  <c r="N20" i="1"/>
  <c r="P9" i="1"/>
  <c r="O32" i="1"/>
  <c r="P10" i="1"/>
  <c r="O34" i="1"/>
  <c r="P25" i="1"/>
  <c r="P27" i="1"/>
  <c r="P14" i="1"/>
  <c r="B24" i="15"/>
  <c r="B26" i="15" s="1"/>
  <c r="P21" i="1"/>
  <c r="P20" i="1"/>
  <c r="Q14" i="1"/>
  <c r="O13" i="1"/>
  <c r="O14" i="1"/>
  <c r="Q31" i="1"/>
  <c r="P31" i="1"/>
  <c r="O22" i="1"/>
  <c r="Q8" i="1"/>
  <c r="P26" i="1"/>
  <c r="O11" i="1"/>
  <c r="N32" i="1"/>
  <c r="P11" i="1"/>
  <c r="Q36" i="1"/>
  <c r="Q17" i="1"/>
  <c r="N22" i="1"/>
  <c r="Q20" i="1"/>
  <c r="Q19" i="1"/>
  <c r="N11" i="1"/>
  <c r="Q34" i="1"/>
  <c r="O33" i="1"/>
  <c r="Q21" i="1"/>
  <c r="P13" i="1"/>
  <c r="O8" i="1"/>
  <c r="AH13" i="1" s="1"/>
  <c r="N25" i="1"/>
  <c r="N33" i="1"/>
  <c r="P23" i="1"/>
  <c r="N13" i="1"/>
  <c r="N34" i="1"/>
  <c r="P19" i="1"/>
  <c r="Q33" i="1"/>
  <c r="Q15" i="1"/>
  <c r="O15" i="1"/>
  <c r="O23" i="1"/>
  <c r="Q23" i="1"/>
  <c r="Q9" i="1"/>
  <c r="P16" i="1"/>
  <c r="O25" i="1"/>
  <c r="P8" i="1"/>
  <c r="AI13" i="1" s="1"/>
  <c r="Q22" i="1"/>
  <c r="N10" i="1"/>
  <c r="N17" i="1"/>
  <c r="O16" i="1"/>
  <c r="O26" i="1"/>
  <c r="N16" i="1"/>
  <c r="N27" i="1"/>
  <c r="O17" i="1"/>
  <c r="O27" i="1"/>
  <c r="N15" i="1"/>
  <c r="N26" i="1"/>
  <c r="O9" i="1"/>
  <c r="O19" i="1"/>
  <c r="N31" i="1"/>
  <c r="N14" i="1"/>
  <c r="O10" i="1"/>
  <c r="O20" i="1"/>
  <c r="O31" i="1"/>
  <c r="O21" i="1"/>
  <c r="AF39" i="1"/>
  <c r="AE19" i="1"/>
  <c r="AE39" i="1" s="1"/>
  <c r="M20" i="2"/>
  <c r="AE17" i="1"/>
  <c r="AF13" i="1"/>
  <c r="AE13" i="1"/>
  <c r="AE12" i="1"/>
  <c r="AF9" i="1"/>
  <c r="AE7" i="1"/>
  <c r="L31" i="2"/>
  <c r="L24" i="2"/>
  <c r="L23" i="2"/>
  <c r="L25" i="2" s="1"/>
  <c r="L22" i="2"/>
  <c r="L27" i="2" s="1"/>
  <c r="M16" i="2"/>
  <c r="M18" i="2" s="1"/>
  <c r="AE8" i="1"/>
  <c r="L33" i="2"/>
  <c r="C22" i="2"/>
  <c r="W19" i="1"/>
  <c r="W20" i="1"/>
  <c r="V20" i="1"/>
  <c r="W40" i="1"/>
  <c r="X40" i="1"/>
  <c r="Y40" i="1"/>
  <c r="Z40" i="1"/>
  <c r="AA40" i="1"/>
  <c r="AB40" i="1"/>
  <c r="AC40" i="1"/>
  <c r="AD40" i="1"/>
  <c r="AE40" i="1"/>
  <c r="V40" i="1"/>
  <c r="V17" i="1"/>
  <c r="V37" i="1" s="1"/>
  <c r="D24" i="2"/>
  <c r="E24" i="2"/>
  <c r="F24" i="2"/>
  <c r="G24" i="2"/>
  <c r="H24" i="2"/>
  <c r="I24" i="2"/>
  <c r="J24" i="2"/>
  <c r="K24" i="2"/>
  <c r="C24" i="2"/>
  <c r="C23" i="2"/>
  <c r="C33" i="2"/>
  <c r="D23" i="2"/>
  <c r="E23" i="2"/>
  <c r="F23" i="2"/>
  <c r="G23" i="2"/>
  <c r="H23" i="2"/>
  <c r="I23" i="2"/>
  <c r="J23" i="2"/>
  <c r="K23" i="2"/>
  <c r="C32" i="2"/>
  <c r="D22" i="2"/>
  <c r="E22" i="2"/>
  <c r="F22" i="2"/>
  <c r="G22" i="2"/>
  <c r="H22" i="2"/>
  <c r="I22" i="2"/>
  <c r="J22" i="2"/>
  <c r="K22" i="2"/>
  <c r="C31" i="2"/>
  <c r="D31" i="2"/>
  <c r="D32" i="2"/>
  <c r="D33" i="2"/>
  <c r="V13" i="1"/>
  <c r="V12" i="1"/>
  <c r="V8" i="1"/>
  <c r="V7" i="1"/>
  <c r="X20" i="1"/>
  <c r="Y20" i="1"/>
  <c r="Z20" i="1"/>
  <c r="AA20" i="1"/>
  <c r="AB20" i="1"/>
  <c r="AC20" i="1"/>
  <c r="AD20" i="1"/>
  <c r="AE20" i="1"/>
  <c r="X19" i="1"/>
  <c r="X39" i="1" s="1"/>
  <c r="Y19" i="1"/>
  <c r="Y39" i="1" s="1"/>
  <c r="Z19" i="1"/>
  <c r="Z39" i="1" s="1"/>
  <c r="AA19" i="1"/>
  <c r="AA39" i="1" s="1"/>
  <c r="AB19" i="1"/>
  <c r="AB39" i="1" s="1"/>
  <c r="AC19" i="1"/>
  <c r="AC39" i="1" s="1"/>
  <c r="AD19" i="1"/>
  <c r="AD39" i="1" s="1"/>
  <c r="W17" i="1"/>
  <c r="X17" i="1"/>
  <c r="X37" i="1" s="1"/>
  <c r="Y17" i="1"/>
  <c r="Y37" i="1" s="1"/>
  <c r="Z17" i="1"/>
  <c r="Z37" i="1" s="1"/>
  <c r="AA17" i="1"/>
  <c r="AB17" i="1"/>
  <c r="AC17" i="1"/>
  <c r="AC37" i="1" s="1"/>
  <c r="AD17" i="1"/>
  <c r="AD37" i="1" s="1"/>
  <c r="W13" i="1"/>
  <c r="X13" i="1"/>
  <c r="Y13" i="1"/>
  <c r="Z13" i="1"/>
  <c r="AA13" i="1"/>
  <c r="AB13" i="1"/>
  <c r="AC13" i="1"/>
  <c r="AD13" i="1"/>
  <c r="W12" i="1"/>
  <c r="X12" i="1"/>
  <c r="Y12" i="1"/>
  <c r="Z12" i="1"/>
  <c r="AA12" i="1"/>
  <c r="AB12" i="1"/>
  <c r="AC12" i="1"/>
  <c r="AD12" i="1"/>
  <c r="AD14" i="1" s="1"/>
  <c r="AD26" i="1" s="1"/>
  <c r="W8" i="1"/>
  <c r="X8" i="1"/>
  <c r="Y8" i="1"/>
  <c r="Z8" i="1"/>
  <c r="AA8" i="1"/>
  <c r="AB8" i="1"/>
  <c r="AC8" i="1"/>
  <c r="AD8" i="1"/>
  <c r="W7" i="1"/>
  <c r="X7" i="1"/>
  <c r="Y7" i="1"/>
  <c r="Z7" i="1"/>
  <c r="Z9" i="1" s="1"/>
  <c r="AA7" i="1"/>
  <c r="AB7" i="1"/>
  <c r="AC7" i="1"/>
  <c r="AD7" i="1"/>
  <c r="E32" i="2"/>
  <c r="F32" i="2"/>
  <c r="G32" i="2"/>
  <c r="H32" i="2"/>
  <c r="I32" i="2"/>
  <c r="J32" i="2"/>
  <c r="K32" i="2"/>
  <c r="L32" i="2"/>
  <c r="E33" i="2"/>
  <c r="F33" i="2"/>
  <c r="G33" i="2"/>
  <c r="H33" i="2"/>
  <c r="I33" i="2"/>
  <c r="J33" i="2"/>
  <c r="K33" i="2"/>
  <c r="E31" i="2"/>
  <c r="F31" i="2"/>
  <c r="G31" i="2"/>
  <c r="H31" i="2"/>
  <c r="I31" i="2"/>
  <c r="J31" i="2"/>
  <c r="K31" i="2"/>
  <c r="AD9" i="1" l="1"/>
  <c r="F3" i="7"/>
  <c r="O17" i="2"/>
  <c r="AH17" i="1"/>
  <c r="O14" i="2"/>
  <c r="O9" i="2"/>
  <c r="O10" i="2" s="1"/>
  <c r="R16" i="1"/>
  <c r="R15" i="1"/>
  <c r="R32" i="1"/>
  <c r="R36" i="1"/>
  <c r="R33" i="1"/>
  <c r="R22" i="1"/>
  <c r="R11" i="1"/>
  <c r="R31" i="1"/>
  <c r="R19" i="1"/>
  <c r="R26" i="1"/>
  <c r="R34" i="1"/>
  <c r="R17" i="1"/>
  <c r="R21" i="1"/>
  <c r="R20" i="1"/>
  <c r="AE18" i="19"/>
  <c r="AE24" i="19" s="1"/>
  <c r="AE18" i="17"/>
  <c r="AE24" i="17" s="1"/>
  <c r="O15" i="2"/>
  <c r="O24" i="2" s="1"/>
  <c r="AG37" i="19"/>
  <c r="AG49" i="19" s="1"/>
  <c r="AG29" i="19"/>
  <c r="AG44" i="19"/>
  <c r="AG44" i="17"/>
  <c r="AG37" i="17"/>
  <c r="AG49" i="17" s="1"/>
  <c r="AG29" i="17"/>
  <c r="AG23" i="19"/>
  <c r="AG43" i="19"/>
  <c r="AG23" i="17"/>
  <c r="AG43" i="17"/>
  <c r="D34" i="2"/>
  <c r="C34" i="2"/>
  <c r="O12" i="2"/>
  <c r="O13" i="2" s="1"/>
  <c r="AF28" i="19"/>
  <c r="AF27" i="19"/>
  <c r="AF23" i="19"/>
  <c r="AF43" i="19"/>
  <c r="AF23" i="17"/>
  <c r="AF43" i="17"/>
  <c r="AF20" i="1"/>
  <c r="AF23" i="1" s="1"/>
  <c r="N25" i="2"/>
  <c r="N27" i="2" s="1"/>
  <c r="AF28" i="17"/>
  <c r="AF27" i="17"/>
  <c r="R8" i="1"/>
  <c r="AK13" i="1" s="1"/>
  <c r="S26" i="1"/>
  <c r="R10" i="1"/>
  <c r="R23" i="1"/>
  <c r="AI12" i="1"/>
  <c r="AI14" i="1" s="1"/>
  <c r="R9" i="1"/>
  <c r="R27" i="1"/>
  <c r="R13" i="1"/>
  <c r="R25" i="1"/>
  <c r="R14" i="1"/>
  <c r="N24" i="1"/>
  <c r="N28" i="1" s="1"/>
  <c r="S11" i="1"/>
  <c r="S22" i="1"/>
  <c r="S9" i="1"/>
  <c r="S25" i="1"/>
  <c r="S10" i="1"/>
  <c r="S23" i="1"/>
  <c r="S8" i="1"/>
  <c r="S13" i="1"/>
  <c r="S27" i="1"/>
  <c r="S14" i="1"/>
  <c r="S29" i="1"/>
  <c r="S33" i="1"/>
  <c r="S15" i="1"/>
  <c r="S30" i="1"/>
  <c r="S20" i="1"/>
  <c r="S16" i="1"/>
  <c r="S31" i="1"/>
  <c r="S17" i="1"/>
  <c r="S19" i="1"/>
  <c r="S34" i="1"/>
  <c r="S21" i="1"/>
  <c r="S36" i="1"/>
  <c r="O33" i="2"/>
  <c r="O32" i="2"/>
  <c r="O23" i="2"/>
  <c r="AH37" i="1"/>
  <c r="AG20" i="1"/>
  <c r="AG40" i="1"/>
  <c r="AG38" i="1"/>
  <c r="AG44" i="1" s="1"/>
  <c r="AJ7" i="1"/>
  <c r="Y14" i="1"/>
  <c r="W14" i="1"/>
  <c r="B25" i="15"/>
  <c r="Q24" i="1"/>
  <c r="Q28" i="1" s="1"/>
  <c r="AG12" i="1"/>
  <c r="AG14" i="1" s="1"/>
  <c r="AG26" i="1" s="1"/>
  <c r="AJ12" i="1"/>
  <c r="AH12" i="1"/>
  <c r="AH14" i="1" s="1"/>
  <c r="AG8" i="1"/>
  <c r="AH8" i="1"/>
  <c r="AJ8" i="1"/>
  <c r="AC14" i="1"/>
  <c r="AC46" i="1" s="1"/>
  <c r="X9" i="1"/>
  <c r="X45" i="1" s="1"/>
  <c r="AB14" i="1"/>
  <c r="AC15" i="1" s="1"/>
  <c r="W9" i="1"/>
  <c r="X10" i="1" s="1"/>
  <c r="X49" i="1" s="1"/>
  <c r="AA14" i="1"/>
  <c r="AA46" i="1" s="1"/>
  <c r="AI8" i="1"/>
  <c r="P24" i="1"/>
  <c r="P28" i="1" s="1"/>
  <c r="AI7" i="1"/>
  <c r="Z14" i="1"/>
  <c r="Z46" i="1" s="1"/>
  <c r="P12" i="1"/>
  <c r="P18" i="1" s="1"/>
  <c r="Q12" i="1"/>
  <c r="Q18" i="1" s="1"/>
  <c r="AJ13" i="1"/>
  <c r="N12" i="1"/>
  <c r="N18" i="1" s="1"/>
  <c r="AG7" i="1"/>
  <c r="O12" i="1"/>
  <c r="O18" i="1" s="1"/>
  <c r="AH7" i="1"/>
  <c r="M34" i="2"/>
  <c r="M36" i="2" s="1"/>
  <c r="AF40" i="1"/>
  <c r="AF43" i="1" s="1"/>
  <c r="AE18" i="1"/>
  <c r="AE24" i="1" s="1"/>
  <c r="AE28" i="1" s="1"/>
  <c r="L34" i="2"/>
  <c r="L36" i="2" s="1"/>
  <c r="C25" i="2"/>
  <c r="C27" i="2" s="1"/>
  <c r="O24" i="1"/>
  <c r="O28" i="1" s="1"/>
  <c r="X14" i="1"/>
  <c r="X46" i="1" s="1"/>
  <c r="V9" i="1"/>
  <c r="V45" i="1" s="1"/>
  <c r="AE14" i="1"/>
  <c r="AE26" i="1" s="1"/>
  <c r="X23" i="1"/>
  <c r="AE23" i="1"/>
  <c r="AF14" i="1"/>
  <c r="AC9" i="1"/>
  <c r="AC25" i="1" s="1"/>
  <c r="AB9" i="1"/>
  <c r="AB45" i="1" s="1"/>
  <c r="AA9" i="1"/>
  <c r="AA45" i="1" s="1"/>
  <c r="Y9" i="1"/>
  <c r="Z10" i="1" s="1"/>
  <c r="Z29" i="1" s="1"/>
  <c r="AA23" i="1"/>
  <c r="V14" i="1"/>
  <c r="V46" i="1" s="1"/>
  <c r="AE9" i="1"/>
  <c r="AE10" i="1" s="1"/>
  <c r="AF45" i="1"/>
  <c r="D5" i="7" s="1"/>
  <c r="C12" i="7" s="1"/>
  <c r="AF25" i="1"/>
  <c r="AD25" i="1"/>
  <c r="AD45" i="1"/>
  <c r="AC26" i="1"/>
  <c r="AD15" i="1"/>
  <c r="W26" i="1"/>
  <c r="W46" i="1"/>
  <c r="AB46" i="1"/>
  <c r="AB26" i="1"/>
  <c r="Z25" i="1"/>
  <c r="Z45" i="1"/>
  <c r="AC23" i="1"/>
  <c r="AE43" i="1"/>
  <c r="AD23" i="1"/>
  <c r="AD46" i="1"/>
  <c r="AE15" i="1"/>
  <c r="AD43" i="1"/>
  <c r="AC43" i="1"/>
  <c r="Z23" i="1"/>
  <c r="Y23" i="1"/>
  <c r="AA43" i="1"/>
  <c r="X43" i="1"/>
  <c r="AB23" i="1"/>
  <c r="V25" i="1"/>
  <c r="AB43" i="1"/>
  <c r="Z43" i="1"/>
  <c r="Y43" i="1"/>
  <c r="AF38" i="1"/>
  <c r="AF44" i="1" s="1"/>
  <c r="F25" i="2"/>
  <c r="F27" i="2" s="1"/>
  <c r="D36" i="2"/>
  <c r="H25" i="2"/>
  <c r="H27" i="2" s="1"/>
  <c r="K25" i="2"/>
  <c r="K27" i="2" s="1"/>
  <c r="G25" i="2"/>
  <c r="G27" i="2" s="1"/>
  <c r="D25" i="2"/>
  <c r="D27" i="2" s="1"/>
  <c r="E34" i="2"/>
  <c r="E36" i="2" s="1"/>
  <c r="W37" i="1"/>
  <c r="K34" i="2"/>
  <c r="K36" i="2" s="1"/>
  <c r="J34" i="2"/>
  <c r="J36" i="2" s="1"/>
  <c r="J25" i="2"/>
  <c r="J27" i="2" s="1"/>
  <c r="I25" i="2"/>
  <c r="I27" i="2" s="1"/>
  <c r="H34" i="2"/>
  <c r="H36" i="2" s="1"/>
  <c r="E25" i="2"/>
  <c r="E27" i="2" s="1"/>
  <c r="AE37" i="1"/>
  <c r="W23" i="1"/>
  <c r="AA37" i="1"/>
  <c r="F34" i="2"/>
  <c r="F36" i="2" s="1"/>
  <c r="AB37" i="1"/>
  <c r="W39" i="1"/>
  <c r="W43" i="1" s="1"/>
  <c r="I34" i="2"/>
  <c r="I36" i="2" s="1"/>
  <c r="G34" i="2"/>
  <c r="G36" i="2" s="1"/>
  <c r="C36" i="2"/>
  <c r="X25" i="1"/>
  <c r="Z15" i="1" l="1"/>
  <c r="Z26" i="1"/>
  <c r="AA15" i="1"/>
  <c r="AA50" i="1" s="1"/>
  <c r="AK12" i="1"/>
  <c r="AK14" i="1" s="1"/>
  <c r="AJ14" i="1"/>
  <c r="AJ26" i="1" s="1"/>
  <c r="AK8" i="1"/>
  <c r="R12" i="1"/>
  <c r="R18" i="1" s="1"/>
  <c r="AF31" i="17"/>
  <c r="AF33" i="17" s="1"/>
  <c r="O16" i="2"/>
  <c r="O18" i="2" s="1"/>
  <c r="O20" i="2" s="1"/>
  <c r="AH20" i="1" s="1"/>
  <c r="O31" i="2"/>
  <c r="O22" i="2"/>
  <c r="Y18" i="1"/>
  <c r="Y24" i="1" s="1"/>
  <c r="Y28" i="1" s="1"/>
  <c r="Y18" i="19"/>
  <c r="Y24" i="19" s="1"/>
  <c r="Y18" i="17"/>
  <c r="Y24" i="17" s="1"/>
  <c r="W18" i="1"/>
  <c r="W24" i="1" s="1"/>
  <c r="W18" i="19"/>
  <c r="W24" i="19" s="1"/>
  <c r="W18" i="17"/>
  <c r="W24" i="17" s="1"/>
  <c r="AD18" i="1"/>
  <c r="AD24" i="1" s="1"/>
  <c r="AD28" i="1" s="1"/>
  <c r="AD18" i="17"/>
  <c r="AD24" i="17" s="1"/>
  <c r="AD18" i="19"/>
  <c r="AD24" i="19" s="1"/>
  <c r="AF31" i="19"/>
  <c r="AF33" i="19" s="1"/>
  <c r="E4" i="14"/>
  <c r="E7" i="14" s="1"/>
  <c r="E9" i="14" s="1"/>
  <c r="AG48" i="19"/>
  <c r="AG47" i="19"/>
  <c r="AG51" i="19" s="1"/>
  <c r="AG53" i="19" s="1"/>
  <c r="E4" i="11"/>
  <c r="AG48" i="17"/>
  <c r="AG47" i="17"/>
  <c r="AG51" i="17" s="1"/>
  <c r="AG53" i="17" s="1"/>
  <c r="X18" i="1"/>
  <c r="X24" i="1" s="1"/>
  <c r="X28" i="1" s="1"/>
  <c r="X18" i="19"/>
  <c r="X24" i="19" s="1"/>
  <c r="X18" i="17"/>
  <c r="X24" i="17" s="1"/>
  <c r="AA18" i="1"/>
  <c r="AA24" i="1" s="1"/>
  <c r="AA28" i="1" s="1"/>
  <c r="AA18" i="17"/>
  <c r="AA24" i="17" s="1"/>
  <c r="AA18" i="19"/>
  <c r="AA24" i="19" s="1"/>
  <c r="AG24" i="17"/>
  <c r="AG24" i="19"/>
  <c r="W38" i="1"/>
  <c r="W44" i="1" s="1"/>
  <c r="W48" i="1" s="1"/>
  <c r="W38" i="19"/>
  <c r="W44" i="19" s="1"/>
  <c r="W38" i="17"/>
  <c r="W44" i="17" s="1"/>
  <c r="Z38" i="1"/>
  <c r="Z44" i="1" s="1"/>
  <c r="Z47" i="1" s="1"/>
  <c r="Z38" i="17"/>
  <c r="Z44" i="17" s="1"/>
  <c r="Z38" i="19"/>
  <c r="Z44" i="19" s="1"/>
  <c r="AH37" i="19"/>
  <c r="AH49" i="19" s="1"/>
  <c r="AH29" i="19"/>
  <c r="AA38" i="1"/>
  <c r="AA44" i="1" s="1"/>
  <c r="AA38" i="17"/>
  <c r="AA44" i="17" s="1"/>
  <c r="AA38" i="19"/>
  <c r="AA44" i="19" s="1"/>
  <c r="AC18" i="1"/>
  <c r="AC24" i="1" s="1"/>
  <c r="AC28" i="1" s="1"/>
  <c r="AC18" i="17"/>
  <c r="AC24" i="17" s="1"/>
  <c r="AC18" i="19"/>
  <c r="AC24" i="19" s="1"/>
  <c r="AE38" i="1"/>
  <c r="AE44" i="1" s="1"/>
  <c r="AE48" i="1" s="1"/>
  <c r="AE38" i="19"/>
  <c r="AE44" i="19" s="1"/>
  <c r="AE38" i="17"/>
  <c r="AE44" i="17" s="1"/>
  <c r="AH37" i="17"/>
  <c r="AH49" i="17" s="1"/>
  <c r="AH29" i="17"/>
  <c r="P15" i="2"/>
  <c r="AI17" i="1"/>
  <c r="AI37" i="1" s="1"/>
  <c r="P17" i="2"/>
  <c r="G3" i="7"/>
  <c r="P12" i="2"/>
  <c r="P11" i="2"/>
  <c r="P9" i="2"/>
  <c r="P10" i="2" s="1"/>
  <c r="P14" i="2"/>
  <c r="Z18" i="1"/>
  <c r="Z24" i="1" s="1"/>
  <c r="Z28" i="1" s="1"/>
  <c r="Z18" i="19"/>
  <c r="Z24" i="19" s="1"/>
  <c r="Z18" i="17"/>
  <c r="Z24" i="17" s="1"/>
  <c r="V38" i="1"/>
  <c r="V44" i="1" s="1"/>
  <c r="V48" i="1" s="1"/>
  <c r="V38" i="19"/>
  <c r="V44" i="19" s="1"/>
  <c r="V48" i="19" s="1"/>
  <c r="V38" i="17"/>
  <c r="V44" i="17" s="1"/>
  <c r="V48" i="17" s="1"/>
  <c r="V18" i="1"/>
  <c r="V24" i="1" s="1"/>
  <c r="V28" i="1" s="1"/>
  <c r="V18" i="19"/>
  <c r="V24" i="19" s="1"/>
  <c r="V28" i="19" s="1"/>
  <c r="V18" i="17"/>
  <c r="V24" i="17" s="1"/>
  <c r="V28" i="17" s="1"/>
  <c r="AB38" i="1"/>
  <c r="AB44" i="1" s="1"/>
  <c r="AB48" i="1" s="1"/>
  <c r="AB38" i="19"/>
  <c r="AB44" i="19" s="1"/>
  <c r="AB38" i="17"/>
  <c r="AB44" i="17" s="1"/>
  <c r="AC38" i="19"/>
  <c r="AC44" i="19" s="1"/>
  <c r="AC38" i="17"/>
  <c r="AC44" i="17" s="1"/>
  <c r="AD38" i="19"/>
  <c r="AD44" i="19" s="1"/>
  <c r="AD38" i="17"/>
  <c r="AD44" i="17" s="1"/>
  <c r="AB18" i="1"/>
  <c r="AB24" i="1" s="1"/>
  <c r="AB28" i="1" s="1"/>
  <c r="AB18" i="17"/>
  <c r="AB24" i="17" s="1"/>
  <c r="AB18" i="19"/>
  <c r="AB24" i="19" s="1"/>
  <c r="Y38" i="1"/>
  <c r="Y44" i="1" s="1"/>
  <c r="Y48" i="1" s="1"/>
  <c r="Y38" i="17"/>
  <c r="Y44" i="17" s="1"/>
  <c r="Y38" i="19"/>
  <c r="Y44" i="19" s="1"/>
  <c r="AF44" i="19"/>
  <c r="AF44" i="17"/>
  <c r="AE27" i="17"/>
  <c r="AE31" i="17" s="1"/>
  <c r="AE33" i="17" s="1"/>
  <c r="AE28" i="17"/>
  <c r="X38" i="1"/>
  <c r="X44" i="1" s="1"/>
  <c r="X48" i="1" s="1"/>
  <c r="X38" i="17"/>
  <c r="X44" i="17" s="1"/>
  <c r="X38" i="19"/>
  <c r="X44" i="19" s="1"/>
  <c r="AE28" i="19"/>
  <c r="AE27" i="19"/>
  <c r="AE31" i="19" s="1"/>
  <c r="AE33" i="19" s="1"/>
  <c r="AK7" i="1"/>
  <c r="AK9" i="1" s="1"/>
  <c r="R24" i="1"/>
  <c r="R28" i="1" s="1"/>
  <c r="S32" i="1"/>
  <c r="AL12" i="1"/>
  <c r="AG15" i="1"/>
  <c r="AL13" i="1"/>
  <c r="S12" i="1"/>
  <c r="S18" i="1" s="1"/>
  <c r="AG9" i="1"/>
  <c r="AG45" i="1" s="1"/>
  <c r="E5" i="7" s="1"/>
  <c r="O37" i="1"/>
  <c r="P37" i="1"/>
  <c r="AL8" i="1"/>
  <c r="S24" i="1"/>
  <c r="S28" i="1" s="1"/>
  <c r="AL7" i="1"/>
  <c r="E4" i="7"/>
  <c r="E7" i="7" s="1"/>
  <c r="E9" i="7" s="1"/>
  <c r="AG48" i="1"/>
  <c r="O25" i="2"/>
  <c r="O27" i="2" s="1"/>
  <c r="E7" i="11"/>
  <c r="E9" i="11" s="1"/>
  <c r="AG18" i="1"/>
  <c r="AG24" i="1" s="1"/>
  <c r="AG28" i="1" s="1"/>
  <c r="O34" i="2"/>
  <c r="O36" i="2" s="1"/>
  <c r="AH40" i="1"/>
  <c r="Y26" i="1"/>
  <c r="W25" i="1"/>
  <c r="W45" i="1"/>
  <c r="AI9" i="1"/>
  <c r="AI25" i="1" s="1"/>
  <c r="Y46" i="1"/>
  <c r="W10" i="1"/>
  <c r="W29" i="1" s="1"/>
  <c r="AJ9" i="1"/>
  <c r="AJ25" i="1" s="1"/>
  <c r="AG46" i="1"/>
  <c r="P35" i="1"/>
  <c r="AH9" i="1"/>
  <c r="AJ46" i="1"/>
  <c r="AI46" i="1"/>
  <c r="AJ15" i="1"/>
  <c r="AI26" i="1"/>
  <c r="AF48" i="1"/>
  <c r="D4" i="7"/>
  <c r="AH46" i="1"/>
  <c r="AI15" i="1"/>
  <c r="AH26" i="1"/>
  <c r="AA26" i="1"/>
  <c r="O35" i="1"/>
  <c r="AB15" i="1"/>
  <c r="AB30" i="1" s="1"/>
  <c r="AH15" i="1"/>
  <c r="X15" i="1"/>
  <c r="X50" i="1" s="1"/>
  <c r="Q35" i="1"/>
  <c r="Q37" i="1"/>
  <c r="X26" i="1"/>
  <c r="N35" i="1"/>
  <c r="N37" i="1"/>
  <c r="Y15" i="1"/>
  <c r="Y50" i="1" s="1"/>
  <c r="AE46" i="1"/>
  <c r="AF15" i="1"/>
  <c r="AE45" i="1"/>
  <c r="V26" i="1"/>
  <c r="AD10" i="1"/>
  <c r="AD49" i="1" s="1"/>
  <c r="AE25" i="1"/>
  <c r="AC45" i="1"/>
  <c r="AF46" i="1"/>
  <c r="C15" i="7" s="1"/>
  <c r="AF26" i="1"/>
  <c r="AF10" i="1"/>
  <c r="AF29" i="1" s="1"/>
  <c r="AB25" i="1"/>
  <c r="AB10" i="1"/>
  <c r="AB29" i="1" s="1"/>
  <c r="Y45" i="1"/>
  <c r="Y25" i="1"/>
  <c r="Y10" i="1"/>
  <c r="Y49" i="1" s="1"/>
  <c r="AA25" i="1"/>
  <c r="AC10" i="1"/>
  <c r="AC29" i="1" s="1"/>
  <c r="W15" i="1"/>
  <c r="AE27" i="1"/>
  <c r="AE31" i="1" s="1"/>
  <c r="AE29" i="1"/>
  <c r="AE49" i="1"/>
  <c r="AE47" i="1"/>
  <c r="AE51" i="1" s="1"/>
  <c r="W28" i="1"/>
  <c r="AA10" i="1"/>
  <c r="AA49" i="1" s="1"/>
  <c r="Z49" i="1"/>
  <c r="AA30" i="1"/>
  <c r="AC30" i="1"/>
  <c r="AC50" i="1"/>
  <c r="Z50" i="1"/>
  <c r="Z30" i="1"/>
  <c r="AD50" i="1"/>
  <c r="AD30" i="1"/>
  <c r="Y30" i="1"/>
  <c r="AE50" i="1"/>
  <c r="AE30" i="1"/>
  <c r="X47" i="1"/>
  <c r="AA48" i="1"/>
  <c r="AD38" i="1"/>
  <c r="AD44" i="1" s="1"/>
  <c r="AC38" i="1"/>
  <c r="AC44" i="1" s="1"/>
  <c r="X29" i="1"/>
  <c r="W27" i="1" l="1"/>
  <c r="R37" i="1"/>
  <c r="AJ45" i="1"/>
  <c r="H5" i="7" s="1"/>
  <c r="AG25" i="1"/>
  <c r="W49" i="1"/>
  <c r="AH10" i="1"/>
  <c r="AH29" i="1" s="1"/>
  <c r="AG10" i="1"/>
  <c r="AG29" i="1" s="1"/>
  <c r="P13" i="2"/>
  <c r="R35" i="1"/>
  <c r="AL14" i="1"/>
  <c r="AL15" i="1" s="1"/>
  <c r="Z48" i="1"/>
  <c r="Z27" i="1"/>
  <c r="Z31" i="1" s="1"/>
  <c r="W47" i="1"/>
  <c r="W51" i="1" s="1"/>
  <c r="X28" i="17"/>
  <c r="X27" i="17"/>
  <c r="X31" i="17" s="1"/>
  <c r="X33" i="17" s="1"/>
  <c r="AD28" i="17"/>
  <c r="AD27" i="17"/>
  <c r="AD31" i="17" s="1"/>
  <c r="AD33" i="17" s="1"/>
  <c r="Z48" i="19"/>
  <c r="Z47" i="19"/>
  <c r="Z51" i="19" s="1"/>
  <c r="Z53" i="19" s="1"/>
  <c r="X28" i="19"/>
  <c r="X27" i="19"/>
  <c r="X31" i="19" s="1"/>
  <c r="X33" i="19" s="1"/>
  <c r="AI37" i="19"/>
  <c r="AI49" i="19" s="1"/>
  <c r="AI29" i="19"/>
  <c r="D4" i="14"/>
  <c r="AF47" i="19"/>
  <c r="AF48" i="19"/>
  <c r="AB48" i="19"/>
  <c r="AB47" i="19"/>
  <c r="AE47" i="17"/>
  <c r="AE48" i="17"/>
  <c r="Z48" i="17"/>
  <c r="Z47" i="17"/>
  <c r="Z51" i="17" s="1"/>
  <c r="Z53" i="17" s="1"/>
  <c r="W28" i="17"/>
  <c r="W27" i="17"/>
  <c r="W31" i="17" s="1"/>
  <c r="W33" i="17" s="1"/>
  <c r="AE48" i="19"/>
  <c r="AE47" i="19"/>
  <c r="W28" i="19"/>
  <c r="W27" i="19"/>
  <c r="W31" i="19" s="1"/>
  <c r="W33" i="19" s="1"/>
  <c r="Q17" i="2"/>
  <c r="Q9" i="2"/>
  <c r="Q10" i="2" s="1"/>
  <c r="Q14" i="2"/>
  <c r="Q12" i="2"/>
  <c r="Q15" i="2"/>
  <c r="H3" i="7"/>
  <c r="Q11" i="2"/>
  <c r="AJ17" i="1"/>
  <c r="AJ37" i="1" s="1"/>
  <c r="W48" i="17"/>
  <c r="W47" i="17"/>
  <c r="W51" i="17" s="1"/>
  <c r="W53" i="17" s="1"/>
  <c r="Y47" i="19"/>
  <c r="Y48" i="19"/>
  <c r="AH44" i="19"/>
  <c r="AH44" i="17"/>
  <c r="AC28" i="19"/>
  <c r="AC27" i="19"/>
  <c r="W48" i="19"/>
  <c r="W47" i="19"/>
  <c r="W51" i="19" s="1"/>
  <c r="W53" i="19" s="1"/>
  <c r="Y28" i="17"/>
  <c r="Y27" i="17"/>
  <c r="Y31" i="17" s="1"/>
  <c r="Y33" i="17" s="1"/>
  <c r="Z28" i="19"/>
  <c r="Z27" i="19"/>
  <c r="Z31" i="19" s="1"/>
  <c r="Z33" i="19" s="1"/>
  <c r="D4" i="11"/>
  <c r="AF48" i="17"/>
  <c r="AF47" i="17"/>
  <c r="AB28" i="19"/>
  <c r="AB27" i="19"/>
  <c r="AC27" i="17"/>
  <c r="AC28" i="17"/>
  <c r="Y27" i="19"/>
  <c r="Y28" i="19"/>
  <c r="AH24" i="19"/>
  <c r="AH24" i="17"/>
  <c r="AB47" i="17"/>
  <c r="AB48" i="17"/>
  <c r="AG28" i="19"/>
  <c r="AG27" i="19"/>
  <c r="AG31" i="19" s="1"/>
  <c r="AG33" i="19" s="1"/>
  <c r="AC48" i="17"/>
  <c r="AC47" i="17"/>
  <c r="AC51" i="17" s="1"/>
  <c r="AC53" i="17" s="1"/>
  <c r="P24" i="2"/>
  <c r="P33" i="2"/>
  <c r="Y47" i="17"/>
  <c r="Y48" i="17"/>
  <c r="AB27" i="17"/>
  <c r="AB28" i="17"/>
  <c r="AA48" i="19"/>
  <c r="AA47" i="19"/>
  <c r="AA51" i="19" s="1"/>
  <c r="AA53" i="19" s="1"/>
  <c r="AG28" i="17"/>
  <c r="AG27" i="17"/>
  <c r="AG31" i="17" s="1"/>
  <c r="AG33" i="17" s="1"/>
  <c r="AC48" i="19"/>
  <c r="AC47" i="19"/>
  <c r="AC51" i="19" s="1"/>
  <c r="AC53" i="19" s="1"/>
  <c r="X48" i="19"/>
  <c r="X47" i="19"/>
  <c r="AD48" i="17"/>
  <c r="AD47" i="17"/>
  <c r="AD51" i="17" s="1"/>
  <c r="AD53" i="17" s="1"/>
  <c r="AA47" i="17"/>
  <c r="AA51" i="17" s="1"/>
  <c r="AA53" i="17" s="1"/>
  <c r="AA48" i="17"/>
  <c r="AD28" i="19"/>
  <c r="AD27" i="19"/>
  <c r="P23" i="2"/>
  <c r="P25" i="2" s="1"/>
  <c r="P32" i="2"/>
  <c r="X48" i="17"/>
  <c r="X47" i="17"/>
  <c r="X51" i="17" s="1"/>
  <c r="X53" i="17" s="1"/>
  <c r="AA28" i="19"/>
  <c r="AA27" i="19"/>
  <c r="AD48" i="19"/>
  <c r="AD47" i="19"/>
  <c r="Z28" i="17"/>
  <c r="Z27" i="17"/>
  <c r="AI37" i="17"/>
  <c r="AI49" i="17" s="1"/>
  <c r="AI29" i="17"/>
  <c r="AA28" i="17"/>
  <c r="AA27" i="17"/>
  <c r="AA31" i="17" s="1"/>
  <c r="AA33" i="17" s="1"/>
  <c r="AH23" i="19"/>
  <c r="AH43" i="19"/>
  <c r="AH23" i="17"/>
  <c r="AH43" i="17"/>
  <c r="AI19" i="1"/>
  <c r="AI30" i="1" s="1"/>
  <c r="AL9" i="1"/>
  <c r="AL10" i="1" s="1"/>
  <c r="AL26" i="1"/>
  <c r="AL46" i="1"/>
  <c r="AK26" i="1"/>
  <c r="AJ19" i="1"/>
  <c r="AJ30" i="1" s="1"/>
  <c r="AK19" i="1"/>
  <c r="AI45" i="1"/>
  <c r="G5" i="7" s="1"/>
  <c r="AJ10" i="1"/>
  <c r="S35" i="1"/>
  <c r="S37" i="1"/>
  <c r="AL19" i="1" s="1"/>
  <c r="AL39" i="1" s="1"/>
  <c r="AH38" i="1"/>
  <c r="AH44" i="1" s="1"/>
  <c r="AH18" i="1"/>
  <c r="AH24" i="1" s="1"/>
  <c r="AH28" i="1" s="1"/>
  <c r="AC27" i="1"/>
  <c r="AC31" i="1" s="1"/>
  <c r="AK15" i="1"/>
  <c r="X30" i="1"/>
  <c r="X51" i="1"/>
  <c r="X53" i="1" s="1"/>
  <c r="AK46" i="1"/>
  <c r="AI10" i="1"/>
  <c r="AI49" i="1" s="1"/>
  <c r="AH45" i="1"/>
  <c r="F5" i="7" s="1"/>
  <c r="AH25" i="1"/>
  <c r="AD29" i="1"/>
  <c r="AB50" i="1"/>
  <c r="AF49" i="1"/>
  <c r="AF50" i="1"/>
  <c r="AF30" i="1"/>
  <c r="AK25" i="1"/>
  <c r="AK45" i="1"/>
  <c r="I5" i="7" s="1"/>
  <c r="AK10" i="1"/>
  <c r="AG19" i="1"/>
  <c r="AH19" i="1"/>
  <c r="AF27" i="1"/>
  <c r="Y47" i="1"/>
  <c r="Y51" i="1" s="1"/>
  <c r="Y53" i="1" s="1"/>
  <c r="AC49" i="1"/>
  <c r="AF47" i="1"/>
  <c r="AB49" i="1"/>
  <c r="AB47" i="1"/>
  <c r="AB51" i="1" s="1"/>
  <c r="AA27" i="1"/>
  <c r="AA31" i="1" s="1"/>
  <c r="AD27" i="1"/>
  <c r="Y27" i="1"/>
  <c r="Y31" i="1" s="1"/>
  <c r="Y33" i="1" s="1"/>
  <c r="W31" i="1"/>
  <c r="W50" i="1"/>
  <c r="W30" i="1"/>
  <c r="AB27" i="1"/>
  <c r="AB31" i="1" s="1"/>
  <c r="AA29" i="1"/>
  <c r="AA47" i="1"/>
  <c r="AA51" i="1" s="1"/>
  <c r="AE33" i="1"/>
  <c r="AC48" i="1"/>
  <c r="AC47" i="1"/>
  <c r="AD48" i="1"/>
  <c r="AD47" i="1"/>
  <c r="Z51" i="1"/>
  <c r="Z53" i="1" s="1"/>
  <c r="X27" i="1"/>
  <c r="Y29" i="1"/>
  <c r="AH47" i="1" l="1"/>
  <c r="Z33" i="1"/>
  <c r="AG27" i="1"/>
  <c r="AG49" i="1"/>
  <c r="AG47" i="1"/>
  <c r="AH49" i="1"/>
  <c r="AJ49" i="1"/>
  <c r="P22" i="2"/>
  <c r="P27" i="2" s="1"/>
  <c r="P16" i="2"/>
  <c r="P18" i="2" s="1"/>
  <c r="P20" i="2" s="1"/>
  <c r="P31" i="2"/>
  <c r="AL45" i="1"/>
  <c r="J5" i="7" s="1"/>
  <c r="AL25" i="1"/>
  <c r="AI50" i="1"/>
  <c r="AI39" i="1"/>
  <c r="AF51" i="19"/>
  <c r="AF53" i="19" s="1"/>
  <c r="AC31" i="17"/>
  <c r="AC33" i="17"/>
  <c r="AE51" i="19"/>
  <c r="AE53" i="19" s="1"/>
  <c r="P34" i="2"/>
  <c r="P36" i="2" s="1"/>
  <c r="AB31" i="19"/>
  <c r="AB33" i="19"/>
  <c r="AC31" i="19"/>
  <c r="AC33" i="19"/>
  <c r="X51" i="19"/>
  <c r="X53" i="19"/>
  <c r="Z31" i="17"/>
  <c r="Z33" i="17" s="1"/>
  <c r="Q33" i="2"/>
  <c r="Q24" i="2"/>
  <c r="AF51" i="17"/>
  <c r="AF53" i="17" s="1"/>
  <c r="F4" i="11"/>
  <c r="F7" i="11" s="1"/>
  <c r="F9" i="11" s="1"/>
  <c r="AH48" i="17"/>
  <c r="AH47" i="17"/>
  <c r="AH51" i="17" s="1"/>
  <c r="AH53" i="17" s="1"/>
  <c r="Q13" i="2"/>
  <c r="F4" i="14"/>
  <c r="F7" i="14" s="1"/>
  <c r="F9" i="14" s="1"/>
  <c r="AH48" i="19"/>
  <c r="AH47" i="19"/>
  <c r="AH51" i="19" s="1"/>
  <c r="AH53" i="19" s="1"/>
  <c r="Q32" i="2"/>
  <c r="Q23" i="2"/>
  <c r="AD51" i="19"/>
  <c r="AD53" i="19" s="1"/>
  <c r="AB51" i="17"/>
  <c r="AB53" i="17" s="1"/>
  <c r="R17" i="2"/>
  <c r="AK37" i="1"/>
  <c r="AK49" i="1" s="1"/>
  <c r="R14" i="2"/>
  <c r="I3" i="7"/>
  <c r="R12" i="2"/>
  <c r="R9" i="2"/>
  <c r="R10" i="2" s="1"/>
  <c r="R13" i="2" s="1"/>
  <c r="R31" i="2" s="1"/>
  <c r="R11" i="2"/>
  <c r="R15" i="2"/>
  <c r="AA31" i="19"/>
  <c r="AA33" i="19" s="1"/>
  <c r="AH28" i="17"/>
  <c r="AH27" i="17"/>
  <c r="AH31" i="17" s="1"/>
  <c r="AH33" i="17" s="1"/>
  <c r="Y51" i="19"/>
  <c r="Y53" i="19"/>
  <c r="AJ37" i="19"/>
  <c r="AJ49" i="19" s="1"/>
  <c r="AJ29" i="19"/>
  <c r="AE51" i="17"/>
  <c r="AE53" i="17"/>
  <c r="AB31" i="17"/>
  <c r="AB33" i="17" s="1"/>
  <c r="AH28" i="19"/>
  <c r="AH27" i="19"/>
  <c r="AH31" i="19" s="1"/>
  <c r="AH33" i="19" s="1"/>
  <c r="AJ37" i="17"/>
  <c r="AJ49" i="17" s="1"/>
  <c r="AJ29" i="17"/>
  <c r="AB51" i="19"/>
  <c r="AB53" i="19" s="1"/>
  <c r="AD31" i="19"/>
  <c r="AD33" i="19" s="1"/>
  <c r="Y51" i="17"/>
  <c r="Y53" i="17"/>
  <c r="Y31" i="19"/>
  <c r="Y33" i="19" s="1"/>
  <c r="AJ29" i="1"/>
  <c r="AJ39" i="1"/>
  <c r="AL30" i="1"/>
  <c r="AL50" i="1"/>
  <c r="AJ50" i="1"/>
  <c r="AH27" i="1"/>
  <c r="AH31" i="1" s="1"/>
  <c r="AH48" i="1"/>
  <c r="F4" i="7"/>
  <c r="F7" i="7" s="1"/>
  <c r="F9" i="7" s="1"/>
  <c r="AB53" i="1"/>
  <c r="AI29" i="1"/>
  <c r="AF51" i="1"/>
  <c r="AF53" i="1"/>
  <c r="AK39" i="1"/>
  <c r="AK30" i="1"/>
  <c r="AF31" i="1"/>
  <c r="AF33" i="1" s="1"/>
  <c r="AK50" i="1"/>
  <c r="AG51" i="1"/>
  <c r="AH51" i="1"/>
  <c r="AG23" i="1"/>
  <c r="AG39" i="1"/>
  <c r="AG43" i="1" s="1"/>
  <c r="AG50" i="1"/>
  <c r="AG30" i="1"/>
  <c r="AH23" i="1"/>
  <c r="AH39" i="1"/>
  <c r="AH43" i="1" s="1"/>
  <c r="AH50" i="1"/>
  <c r="AH30" i="1"/>
  <c r="AG31" i="1"/>
  <c r="W53" i="1"/>
  <c r="AA33" i="1"/>
  <c r="W33" i="1"/>
  <c r="AD31" i="1"/>
  <c r="AD33" i="1" s="1"/>
  <c r="AB33" i="1"/>
  <c r="AA53" i="1"/>
  <c r="AC33" i="1"/>
  <c r="AD51" i="1"/>
  <c r="X31" i="1"/>
  <c r="X33" i="1" s="1"/>
  <c r="AC51" i="1"/>
  <c r="AE53" i="1"/>
  <c r="AI24" i="19" l="1"/>
  <c r="AI24" i="17"/>
  <c r="AI27" i="17" s="1"/>
  <c r="AI31" i="17" s="1"/>
  <c r="AI33" i="17" s="1"/>
  <c r="AI18" i="1"/>
  <c r="AI24" i="1" s="1"/>
  <c r="AI28" i="1" s="1"/>
  <c r="AI27" i="1"/>
  <c r="AI43" i="17"/>
  <c r="AI23" i="19"/>
  <c r="AI43" i="19"/>
  <c r="AI20" i="1"/>
  <c r="AI23" i="1" s="1"/>
  <c r="AI40" i="1"/>
  <c r="AI43" i="1" s="1"/>
  <c r="AI23" i="17"/>
  <c r="AK29" i="1"/>
  <c r="AI44" i="19"/>
  <c r="AI44" i="17"/>
  <c r="AI38" i="1"/>
  <c r="AI44" i="1" s="1"/>
  <c r="AK37" i="17"/>
  <c r="AK49" i="17" s="1"/>
  <c r="AK29" i="17"/>
  <c r="Q25" i="2"/>
  <c r="Q34" i="2"/>
  <c r="R24" i="2"/>
  <c r="R33" i="2"/>
  <c r="R32" i="2"/>
  <c r="R23" i="2"/>
  <c r="R22" i="2"/>
  <c r="S14" i="2"/>
  <c r="S15" i="2"/>
  <c r="J3" i="7"/>
  <c r="S9" i="2"/>
  <c r="S10" i="2" s="1"/>
  <c r="S12" i="2"/>
  <c r="S11" i="2"/>
  <c r="S17" i="2"/>
  <c r="Q22" i="2"/>
  <c r="Q27" i="2" s="1"/>
  <c r="Q31" i="2"/>
  <c r="Q16" i="2"/>
  <c r="Q18" i="2" s="1"/>
  <c r="Q20" i="2" s="1"/>
  <c r="R16" i="2"/>
  <c r="R18" i="2" s="1"/>
  <c r="R20" i="2" s="1"/>
  <c r="AK37" i="19"/>
  <c r="AK29" i="19"/>
  <c r="AI28" i="19"/>
  <c r="AI27" i="19"/>
  <c r="AH53" i="1"/>
  <c r="AG33" i="1"/>
  <c r="AG53" i="1"/>
  <c r="AH33" i="1"/>
  <c r="AC53" i="1"/>
  <c r="AD53" i="1"/>
  <c r="AI28" i="17" l="1"/>
  <c r="S13" i="2"/>
  <c r="Q36" i="2"/>
  <c r="AI31" i="1"/>
  <c r="AI33" i="1" s="1"/>
  <c r="S23" i="2"/>
  <c r="S32" i="2"/>
  <c r="S34" i="2" s="1"/>
  <c r="R25" i="2"/>
  <c r="R27" i="2" s="1"/>
  <c r="R34" i="2"/>
  <c r="R36" i="2" s="1"/>
  <c r="AI31" i="19"/>
  <c r="AI33" i="19" s="1"/>
  <c r="AL49" i="1"/>
  <c r="AL29" i="1"/>
  <c r="S22" i="2"/>
  <c r="S31" i="2"/>
  <c r="S16" i="2"/>
  <c r="S18" i="2" s="1"/>
  <c r="S20" i="2" s="1"/>
  <c r="AK49" i="19"/>
  <c r="S24" i="2"/>
  <c r="S33" i="2"/>
  <c r="AK43" i="19"/>
  <c r="AK23" i="17"/>
  <c r="AK43" i="17"/>
  <c r="AK23" i="19"/>
  <c r="AK20" i="1"/>
  <c r="AK23" i="1" s="1"/>
  <c r="AK40" i="1"/>
  <c r="AK43" i="1" s="1"/>
  <c r="AL37" i="19"/>
  <c r="AL49" i="19" s="1"/>
  <c r="AL29" i="19"/>
  <c r="AJ23" i="17"/>
  <c r="AJ43" i="17"/>
  <c r="AJ43" i="19"/>
  <c r="AJ23" i="19"/>
  <c r="AJ20" i="1"/>
  <c r="AJ23" i="1" s="1"/>
  <c r="AJ40" i="1"/>
  <c r="AJ43" i="1" s="1"/>
  <c r="AL37" i="17"/>
  <c r="AL49" i="17" s="1"/>
  <c r="AL29" i="17"/>
  <c r="AI48" i="1"/>
  <c r="G4" i="7"/>
  <c r="G7" i="7" s="1"/>
  <c r="G9" i="7" s="1"/>
  <c r="AI47" i="1"/>
  <c r="AI51" i="1" s="1"/>
  <c r="AI53" i="1" s="1"/>
  <c r="AJ44" i="17"/>
  <c r="AJ44" i="19"/>
  <c r="AJ38" i="1"/>
  <c r="AJ44" i="1" s="1"/>
  <c r="G4" i="11"/>
  <c r="G7" i="11" s="1"/>
  <c r="G9" i="11" s="1"/>
  <c r="AI48" i="17"/>
  <c r="AI47" i="17"/>
  <c r="AI51" i="17" s="1"/>
  <c r="AI53" i="17" s="1"/>
  <c r="AJ24" i="19"/>
  <c r="AJ24" i="17"/>
  <c r="AJ18" i="1"/>
  <c r="AJ24" i="1" s="1"/>
  <c r="G4" i="14"/>
  <c r="G7" i="14" s="1"/>
  <c r="G9" i="14" s="1"/>
  <c r="AI48" i="19"/>
  <c r="AI47" i="19"/>
  <c r="H4" i="11" l="1"/>
  <c r="H7" i="11" s="1"/>
  <c r="H9" i="11" s="1"/>
  <c r="AJ48" i="17"/>
  <c r="AJ47" i="17"/>
  <c r="AL43" i="19"/>
  <c r="AL23" i="17"/>
  <c r="AL43" i="17"/>
  <c r="AL23" i="19"/>
  <c r="AL40" i="1"/>
  <c r="AL43" i="1" s="1"/>
  <c r="AL20" i="1"/>
  <c r="AL23" i="1" s="1"/>
  <c r="AI51" i="19"/>
  <c r="AI53" i="19" s="1"/>
  <c r="AJ27" i="1"/>
  <c r="AJ31" i="1" s="1"/>
  <c r="AJ33" i="1" s="1"/>
  <c r="AJ28" i="1"/>
  <c r="AJ28" i="17"/>
  <c r="AJ27" i="17"/>
  <c r="AJ28" i="19"/>
  <c r="AJ27" i="19"/>
  <c r="AJ31" i="19" s="1"/>
  <c r="AJ33" i="19" s="1"/>
  <c r="AK44" i="17"/>
  <c r="AK44" i="19"/>
  <c r="AK38" i="1"/>
  <c r="AK44" i="1" s="1"/>
  <c r="H4" i="14"/>
  <c r="H7" i="14" s="1"/>
  <c r="H9" i="14" s="1"/>
  <c r="AJ48" i="19"/>
  <c r="AJ47" i="19"/>
  <c r="AJ51" i="19" s="1"/>
  <c r="AJ53" i="19" s="1"/>
  <c r="S36" i="2"/>
  <c r="AK24" i="19"/>
  <c r="AK24" i="17"/>
  <c r="AK18" i="1"/>
  <c r="AK24" i="1" s="1"/>
  <c r="H4" i="7"/>
  <c r="H7" i="7" s="1"/>
  <c r="H9" i="7" s="1"/>
  <c r="AJ48" i="1"/>
  <c r="AJ47" i="1"/>
  <c r="AJ51" i="1" s="1"/>
  <c r="AJ53" i="1" s="1"/>
  <c r="S25" i="2"/>
  <c r="S27" i="2" s="1"/>
  <c r="I4" i="7" l="1"/>
  <c r="I7" i="7" s="1"/>
  <c r="I9" i="7" s="1"/>
  <c r="C10" i="7" s="1"/>
  <c r="AK48" i="1"/>
  <c r="AK47" i="1"/>
  <c r="AK51" i="1" s="1"/>
  <c r="AK53" i="1" s="1"/>
  <c r="AL38" i="1"/>
  <c r="AL44" i="17"/>
  <c r="AL44" i="19"/>
  <c r="AL18" i="1"/>
  <c r="AL24" i="1" s="1"/>
  <c r="AL24" i="19"/>
  <c r="AL24" i="17"/>
  <c r="I4" i="14"/>
  <c r="I7" i="14" s="1"/>
  <c r="I9" i="14" s="1"/>
  <c r="C10" i="14" s="1"/>
  <c r="AK47" i="19"/>
  <c r="AK51" i="19" s="1"/>
  <c r="AK53" i="19" s="1"/>
  <c r="AK48" i="19"/>
  <c r="I4" i="11"/>
  <c r="I7" i="11" s="1"/>
  <c r="I9" i="11" s="1"/>
  <c r="C10" i="11" s="1"/>
  <c r="AK48" i="17"/>
  <c r="AK47" i="17"/>
  <c r="AK27" i="1"/>
  <c r="AK31" i="1" s="1"/>
  <c r="AK33" i="1" s="1"/>
  <c r="AK28" i="1"/>
  <c r="AJ31" i="17"/>
  <c r="AJ33" i="17" s="1"/>
  <c r="AJ51" i="17"/>
  <c r="AJ53" i="17" s="1"/>
  <c r="AK28" i="17"/>
  <c r="AK27" i="17"/>
  <c r="AK28" i="19"/>
  <c r="AK27" i="19"/>
  <c r="AK31" i="19" l="1"/>
  <c r="AK33" i="19" s="1"/>
  <c r="AL28" i="19"/>
  <c r="AL27" i="19"/>
  <c r="AL31" i="19" s="1"/>
  <c r="AL33" i="19" s="1"/>
  <c r="AL28" i="1"/>
  <c r="AL27" i="1"/>
  <c r="AL31" i="1" s="1"/>
  <c r="AL33" i="1" s="1"/>
  <c r="AL28" i="17"/>
  <c r="AL27" i="17"/>
  <c r="J4" i="14"/>
  <c r="J7" i="14" s="1"/>
  <c r="C19" i="14" s="1"/>
  <c r="AL48" i="19"/>
  <c r="AL47" i="19"/>
  <c r="AL51" i="19" s="1"/>
  <c r="AL53" i="19" s="1"/>
  <c r="J4" i="11"/>
  <c r="J7" i="11" s="1"/>
  <c r="AL48" i="17"/>
  <c r="AL47" i="17"/>
  <c r="AL51" i="17" s="1"/>
  <c r="AL53" i="17" s="1"/>
  <c r="J4" i="7"/>
  <c r="J7" i="7" s="1"/>
  <c r="C11" i="7" s="1"/>
  <c r="AL44" i="1"/>
  <c r="AK31" i="17"/>
  <c r="AK33" i="17" s="1"/>
  <c r="AK51" i="17"/>
  <c r="AK53" i="17" s="1"/>
  <c r="C13" i="7"/>
  <c r="C19" i="7" s="1"/>
  <c r="C22" i="7" s="1"/>
  <c r="B6" i="8" s="1"/>
  <c r="C11" i="11" l="1"/>
  <c r="C13" i="11" s="1"/>
  <c r="C19" i="11" s="1"/>
  <c r="AL31" i="17"/>
  <c r="AL33" i="17" s="1"/>
  <c r="AL48" i="1"/>
  <c r="AL47" i="1"/>
  <c r="AL51" i="1" s="1"/>
  <c r="AL53" i="1" s="1"/>
</calcChain>
</file>

<file path=xl/sharedStrings.xml><?xml version="1.0" encoding="utf-8"?>
<sst xmlns="http://schemas.openxmlformats.org/spreadsheetml/2006/main" count="894" uniqueCount="176">
  <si>
    <t>Hershey Company (The) (NYS: HSY)</t>
  </si>
  <si>
    <t xml:space="preserve">As Reported Annual Balance Sheet </t>
  </si>
  <si>
    <t>12/31/2023</t>
  </si>
  <si>
    <t>12/31/2022</t>
  </si>
  <si>
    <t>12/31/2021</t>
  </si>
  <si>
    <t>12/31/2020</t>
  </si>
  <si>
    <t>12/31/2019</t>
  </si>
  <si>
    <t>12/31/2018</t>
  </si>
  <si>
    <t>12/31/2017</t>
  </si>
  <si>
    <t>12/31/2016</t>
  </si>
  <si>
    <t>12/31/2015</t>
  </si>
  <si>
    <t>12/31/2014</t>
  </si>
  <si>
    <t>Audit Status</t>
  </si>
  <si>
    <t>Not Qualified</t>
  </si>
  <si>
    <t>Scale</t>
  </si>
  <si>
    <t>Thousands</t>
  </si>
  <si>
    <t>Cash &amp; cash equivalents</t>
  </si>
  <si>
    <t>Accounts receivable - trade, net</t>
  </si>
  <si>
    <t>Inventories</t>
  </si>
  <si>
    <t>Deferred income taxes</t>
  </si>
  <si>
    <t>Prepaid expenses &amp; other current assets</t>
  </si>
  <si>
    <t>Total current assets</t>
  </si>
  <si>
    <t>Property, plant &amp; equipment, net</t>
  </si>
  <si>
    <t>Goodwill</t>
  </si>
  <si>
    <t>Other intangibles</t>
  </si>
  <si>
    <t>Other non-current assets</t>
  </si>
  <si>
    <t>Total assets</t>
  </si>
  <si>
    <t>Accounts payable</t>
  </si>
  <si>
    <t>Accrued liabilities</t>
  </si>
  <si>
    <t>Accrued income taxes</t>
  </si>
  <si>
    <t>Short-term debt</t>
  </si>
  <si>
    <t>Current portion of long-term debt</t>
  </si>
  <si>
    <t>Total current liabilities</t>
  </si>
  <si>
    <t>Long-term debt</t>
  </si>
  <si>
    <t>Other long-term liabilities</t>
  </si>
  <si>
    <t>Total liabilities</t>
  </si>
  <si>
    <t>Common stock</t>
  </si>
  <si>
    <t>Class B common stock</t>
  </si>
  <si>
    <t>Additional paid-in capital</t>
  </si>
  <si>
    <t>Retained earnings (accumulated deficit)</t>
  </si>
  <si>
    <t>Treasury - common stock shares, at cost</t>
  </si>
  <si>
    <t>Accumulated other comprehensive income (loss)</t>
  </si>
  <si>
    <t>Total - The Hershey Company stockholders' equity</t>
  </si>
  <si>
    <t>Noncontrolling interest in subsidiary</t>
  </si>
  <si>
    <t>Total stockholders' equity</t>
  </si>
  <si>
    <t xml:space="preserve">As Reported Annual Income Statement </t>
  </si>
  <si>
    <t>Net sales</t>
  </si>
  <si>
    <t>Cost of sales</t>
  </si>
  <si>
    <t>Gross profit</t>
  </si>
  <si>
    <t>Selling, marketing &amp; administrative expense</t>
  </si>
  <si>
    <t>Business realignment costs</t>
  </si>
  <si>
    <t>Operating profit</t>
  </si>
  <si>
    <t>Interest income (expense), net</t>
  </si>
  <si>
    <t>Other income (expense), net</t>
  </si>
  <si>
    <t>Income before income taxes</t>
  </si>
  <si>
    <t>Provision (benefit) for income taxes</t>
  </si>
  <si>
    <t>Net income including noncontrolling interest</t>
  </si>
  <si>
    <t>Net income (loss) attributable to The Hershey Company</t>
  </si>
  <si>
    <t>Operating profits before tax</t>
  </si>
  <si>
    <t>Tax for non operating and operating items</t>
  </si>
  <si>
    <t>Tax on non operating items (tax shield)</t>
  </si>
  <si>
    <t>Tax for operating items</t>
  </si>
  <si>
    <t>Statutory rate</t>
  </si>
  <si>
    <t>NOPAT</t>
  </si>
  <si>
    <t>OA</t>
  </si>
  <si>
    <t>OL</t>
  </si>
  <si>
    <t>NOA</t>
  </si>
  <si>
    <t>Avg NOA</t>
  </si>
  <si>
    <t>Non Op L</t>
  </si>
  <si>
    <t>Non Op A</t>
  </si>
  <si>
    <t>NNO</t>
  </si>
  <si>
    <t>Avg NNO</t>
  </si>
  <si>
    <t>Sales</t>
  </si>
  <si>
    <t>Avg SE</t>
  </si>
  <si>
    <t>NI</t>
  </si>
  <si>
    <t>ROE</t>
  </si>
  <si>
    <t>RNOA</t>
  </si>
  <si>
    <t>NOPM</t>
  </si>
  <si>
    <t>NOAT</t>
  </si>
  <si>
    <t>FLEV</t>
  </si>
  <si>
    <t>SPREAD</t>
  </si>
  <si>
    <t>Check ROE</t>
  </si>
  <si>
    <t>Less: net gain (loss) attributable to noncontrolling interest</t>
  </si>
  <si>
    <t>Alternative Interpretation of Interest and Other Income</t>
  </si>
  <si>
    <t>-</t>
  </si>
  <si>
    <t>166,939 </t>
  </si>
  <si>
    <t>54,614 </t>
  </si>
  <si>
    <t>2024 Ratios</t>
  </si>
  <si>
    <t>Forecasted Sales from IS</t>
  </si>
  <si>
    <t>Period</t>
  </si>
  <si>
    <t>Reported</t>
  </si>
  <si>
    <t>Terminal</t>
  </si>
  <si>
    <t>ROPI</t>
  </si>
  <si>
    <t>Discount Value</t>
  </si>
  <si>
    <t>Present Value</t>
  </si>
  <si>
    <t>Present Value of Terminal ROPI</t>
  </si>
  <si>
    <t>NOA'2024</t>
  </si>
  <si>
    <t>Total Firm Value</t>
  </si>
  <si>
    <t>Less NNO 2024</t>
  </si>
  <si>
    <t>Less Preferred Stock</t>
  </si>
  <si>
    <t>Less Noncontrolling Interest</t>
  </si>
  <si>
    <t>Firm Equity Value</t>
  </si>
  <si>
    <t>Shares O/S March 26, 2025</t>
  </si>
  <si>
    <t>Stock Value Per Share</t>
  </si>
  <si>
    <t xml:space="preserve">Terminal </t>
  </si>
  <si>
    <t>Cum present value of horizon ROPI</t>
  </si>
  <si>
    <t>Firm Equity Value (in thousands)</t>
  </si>
  <si>
    <t>Assumptions</t>
  </si>
  <si>
    <t>Base Value</t>
  </si>
  <si>
    <t>Lower</t>
  </si>
  <si>
    <t>Upper</t>
  </si>
  <si>
    <t>Sales Growth</t>
  </si>
  <si>
    <t>WACC</t>
  </si>
  <si>
    <t>Terminal Growth</t>
  </si>
  <si>
    <t xml:space="preserve">Market Risk Premium (MRP) </t>
  </si>
  <si>
    <t>Stock Price</t>
  </si>
  <si>
    <t>Statutory Tax Rate</t>
  </si>
  <si>
    <t xml:space="preserve">Do we need to change this for tax credits? </t>
  </si>
  <si>
    <t>COGS</t>
  </si>
  <si>
    <t xml:space="preserve">SG&amp;A </t>
  </si>
  <si>
    <t>10 Year Treasury Rate - Real-Time &amp; Historical Yield Trends</t>
  </si>
  <si>
    <t>https://www.moodys.com/entity/369000/overview</t>
  </si>
  <si>
    <t>Cost of equity (Re)= Risk free rate+beta*Market risk premium</t>
  </si>
  <si>
    <t>Cost of Debt = Default Spread +Risk free rate</t>
  </si>
  <si>
    <t>D</t>
  </si>
  <si>
    <t>E</t>
  </si>
  <si>
    <t>V</t>
  </si>
  <si>
    <t>D/V</t>
  </si>
  <si>
    <t>E/V</t>
  </si>
  <si>
    <t>Rd</t>
  </si>
  <si>
    <t>Re</t>
  </si>
  <si>
    <t>Tc</t>
  </si>
  <si>
    <t>millions</t>
  </si>
  <si>
    <t>Basic Shares Outstanding</t>
  </si>
  <si>
    <t>Share price</t>
  </si>
  <si>
    <t>Total E</t>
  </si>
  <si>
    <t>WACC Formula: 
(E/V)*Re+(D/V)*Rd*(1-Tc)</t>
  </si>
  <si>
    <t>Actual Closing Stock Price on March 26, 2025</t>
  </si>
  <si>
    <t>2020 SG</t>
  </si>
  <si>
    <t>2021 SG</t>
  </si>
  <si>
    <t>2022 SG</t>
  </si>
  <si>
    <t>2023 SG</t>
  </si>
  <si>
    <t>2024 SG</t>
  </si>
  <si>
    <t>Average SG</t>
  </si>
  <si>
    <t>Assume no additional short or long term borrowings or operating leases, assume make all contractual long term debt payments</t>
  </si>
  <si>
    <t>CAGR</t>
  </si>
  <si>
    <t xml:space="preserve">Base Terminal Period Growth Rate </t>
  </si>
  <si>
    <t>We assume that other nonoperating items may recur (nomalized as a percentage of sales)</t>
  </si>
  <si>
    <t>Got this from Golden slides from our finance class</t>
  </si>
  <si>
    <t>HSY | Hershey Co. Annual Income Statement | MarketWatch</t>
  </si>
  <si>
    <t>Measure</t>
  </si>
  <si>
    <t>Value</t>
  </si>
  <si>
    <t>Reference</t>
  </si>
  <si>
    <t>A1</t>
  </si>
  <si>
    <t>Equity=  (Basic Shares Outstanding*Share price)</t>
  </si>
  <si>
    <t>Equity Calculation</t>
  </si>
  <si>
    <t>Return on Equity (Re)</t>
  </si>
  <si>
    <t>Return on Debt(Rd)</t>
  </si>
  <si>
    <t>Market Risk Premium(MRP)</t>
  </si>
  <si>
    <t xml:space="preserve">Beta </t>
  </si>
  <si>
    <t>Statutory Tax rate</t>
  </si>
  <si>
    <t xml:space="preserve">Default spread </t>
  </si>
  <si>
    <t>Moody's rating</t>
  </si>
  <si>
    <t xml:space="preserve">Risk free rate </t>
  </si>
  <si>
    <t>Assumption: Based on Finance class, we always assumed MRP to be 5%</t>
  </si>
  <si>
    <t>https://finance.yahoo.com/quote/HSY/history/https://finance.yahoo.com/quote/HSY/history(Share Price as of Dec 31 2024).</t>
  </si>
  <si>
    <t>https://finance.yahoo.com/quote/HSY</t>
  </si>
  <si>
    <t>2024 WACC Calculation</t>
  </si>
  <si>
    <t>Equity= (Basic Shares Outstanding*Share price)</t>
  </si>
  <si>
    <t>V= D+ E</t>
  </si>
  <si>
    <t xml:space="preserve">Below is the estimate of Hershey Company's (HSY) weighted average cost of capital (WACC), </t>
  </si>
  <si>
    <t xml:space="preserve">Debt (Got These Values from Hershey's 2024 Balance Sheet) =
LT Debt
Notes Payable/ST Debt
Current Portion Of LT Debt
</t>
  </si>
  <si>
    <t>Balance Sheet 2024 Ratios</t>
  </si>
  <si>
    <t>Income Statement 2024 Ratios</t>
  </si>
  <si>
    <t xml:space="preserve">The corporate tax rate (Tc) used in WACC calculations in the US for 2025 is primarily influenced by the federal corporate income tax rate, which is a flat rate of 21%. </t>
  </si>
  <si>
    <t xml:space="preserve">Sales Growth Rate from HSY's Financial Results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</si>
</sst>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"/>
    <numFmt numFmtId="166" formatCode="_(&quot;$&quot;* #,##0_);_(&quot;$&quot;* \(#,##0\);_(&quot;$&quot;* &quot;-&quot;??_);_(@_)"/>
    <numFmt numFmtId="167" formatCode="_(* #,##0_);_(* \(#,##0\);_(* &quot;-&quot;??_);_(@_)"/>
    <numFmt numFmtId="168" formatCode="_(&quot;$&quot;* #,##0.0_);_(&quot;$&quot;* \(#,##0.0\);_(&quot;$&quot;* &quot;-&quot;??_);_(@_)"/>
  </numFmts>
  <fonts count="22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4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141413"/>
      <name val="Helvetica"/>
      <family val="2"/>
    </font>
    <font>
      <b/>
      <sz val="10"/>
      <color rgb="FF141413"/>
      <name val="Helvetica"/>
      <family val="2"/>
    </font>
    <font>
      <b/>
      <sz val="12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b/>
      <sz val="14"/>
      <color rgb="FF242424"/>
      <name val="Segoe UI"/>
      <family val="2"/>
    </font>
    <font>
      <sz val="11"/>
      <color rgb="FFFF0000"/>
      <name val="Calibri"/>
      <family val="2"/>
    </font>
    <font>
      <u/>
      <sz val="10"/>
      <color theme="10"/>
      <name val="Arial"/>
      <family val="2"/>
    </font>
    <font>
      <u/>
      <sz val="11"/>
      <color rgb="FF0563C1"/>
      <name val="Calibri"/>
      <family val="2"/>
    </font>
    <font>
      <sz val="11"/>
      <color rgb="FF001D35"/>
      <name val="Arial"/>
      <family val="2"/>
    </font>
    <font>
      <b/>
      <sz val="18"/>
      <color rgb="FF000000"/>
      <name val="Calibri"/>
      <family val="2"/>
    </font>
    <font>
      <sz val="11"/>
      <color theme="1"/>
      <name val="Calibri"/>
      <family val="2"/>
    </font>
    <font>
      <b/>
      <sz val="10.5"/>
      <color rgb="FF242424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D7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2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 wrapText="1"/>
    </xf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5" fillId="0" borderId="0" xfId="0" applyFont="1" applyAlignment="1">
      <alignment horizontal="left"/>
    </xf>
    <xf numFmtId="0" fontId="5" fillId="0" borderId="0" xfId="0" applyFont="1"/>
    <xf numFmtId="166" fontId="5" fillId="0" borderId="0" xfId="2" applyNumberFormat="1" applyFont="1" applyAlignment="1">
      <alignment horizontal="right"/>
    </xf>
    <xf numFmtId="166" fontId="5" fillId="0" borderId="0" xfId="2" applyNumberFormat="1" applyFont="1"/>
    <xf numFmtId="166" fontId="0" fillId="0" borderId="0" xfId="0" applyNumberFormat="1"/>
    <xf numFmtId="167" fontId="0" fillId="0" borderId="0" xfId="0" applyNumberFormat="1"/>
    <xf numFmtId="3" fontId="0" fillId="0" borderId="0" xfId="0" applyNumberFormat="1"/>
    <xf numFmtId="10" fontId="0" fillId="0" borderId="0" xfId="3" applyNumberFormat="1" applyFont="1" applyBorder="1"/>
    <xf numFmtId="167" fontId="0" fillId="0" borderId="0" xfId="1" applyNumberFormat="1" applyFont="1" applyBorder="1"/>
    <xf numFmtId="43" fontId="0" fillId="0" borderId="0" xfId="1" applyFont="1" applyBorder="1"/>
    <xf numFmtId="0" fontId="6" fillId="0" borderId="0" xfId="0" applyFont="1"/>
    <xf numFmtId="166" fontId="7" fillId="0" borderId="0" xfId="0" applyNumberFormat="1" applyFont="1"/>
    <xf numFmtId="0" fontId="7" fillId="0" borderId="0" xfId="0" applyFont="1"/>
    <xf numFmtId="43" fontId="0" fillId="0" borderId="0" xfId="0" applyNumberFormat="1"/>
    <xf numFmtId="0" fontId="0" fillId="3" borderId="0" xfId="0" applyFill="1" applyAlignment="1">
      <alignment horizontal="left"/>
    </xf>
    <xf numFmtId="0" fontId="0" fillId="3" borderId="0" xfId="0" applyFill="1"/>
    <xf numFmtId="166" fontId="0" fillId="3" borderId="0" xfId="2" applyNumberFormat="1" applyFont="1" applyFill="1"/>
    <xf numFmtId="166" fontId="0" fillId="3" borderId="0" xfId="2" applyNumberFormat="1" applyFont="1" applyFill="1" applyAlignment="1">
      <alignment horizontal="right"/>
    </xf>
    <xf numFmtId="0" fontId="0" fillId="4" borderId="0" xfId="0" applyFill="1" applyAlignment="1">
      <alignment horizontal="left"/>
    </xf>
    <xf numFmtId="1" fontId="0" fillId="4" borderId="0" xfId="0" applyNumberFormat="1" applyFill="1"/>
    <xf numFmtId="166" fontId="0" fillId="4" borderId="0" xfId="2" applyNumberFormat="1" applyFont="1" applyFill="1"/>
    <xf numFmtId="0" fontId="0" fillId="4" borderId="0" xfId="0" applyFill="1"/>
    <xf numFmtId="166" fontId="0" fillId="4" borderId="0" xfId="2" applyNumberFormat="1" applyFont="1" applyFill="1" applyAlignment="1">
      <alignment horizontal="right"/>
    </xf>
    <xf numFmtId="10" fontId="0" fillId="0" borderId="0" xfId="3" applyNumberFormat="1" applyFont="1"/>
    <xf numFmtId="167" fontId="0" fillId="0" borderId="0" xfId="1" applyNumberFormat="1" applyFont="1"/>
    <xf numFmtId="43" fontId="0" fillId="0" borderId="0" xfId="1" applyFont="1"/>
    <xf numFmtId="0" fontId="0" fillId="2" borderId="0" xfId="0" applyFill="1" applyAlignment="1">
      <alignment horizontal="left"/>
    </xf>
    <xf numFmtId="0" fontId="0" fillId="2" borderId="0" xfId="0" applyFill="1"/>
    <xf numFmtId="166" fontId="0" fillId="2" borderId="0" xfId="2" applyNumberFormat="1" applyFont="1" applyFill="1"/>
    <xf numFmtId="166" fontId="3" fillId="0" borderId="0" xfId="2" applyNumberFormat="1" applyFont="1"/>
    <xf numFmtId="168" fontId="0" fillId="0" borderId="0" xfId="0" applyNumberFormat="1"/>
    <xf numFmtId="168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166" fontId="3" fillId="0" borderId="0" xfId="0" applyNumberFormat="1" applyFont="1"/>
    <xf numFmtId="166" fontId="9" fillId="0" borderId="0" xfId="0" applyNumberFormat="1" applyFont="1"/>
    <xf numFmtId="166" fontId="0" fillId="5" borderId="0" xfId="0" applyNumberFormat="1" applyFill="1"/>
    <xf numFmtId="166" fontId="8" fillId="5" borderId="0" xfId="0" applyNumberFormat="1" applyFont="1" applyFill="1"/>
    <xf numFmtId="166" fontId="8" fillId="4" borderId="0" xfId="0" applyNumberFormat="1" applyFont="1" applyFill="1"/>
    <xf numFmtId="0" fontId="8" fillId="4" borderId="0" xfId="0" applyFont="1" applyFill="1"/>
    <xf numFmtId="0" fontId="3" fillId="0" borderId="0" xfId="0" applyFont="1" applyAlignment="1">
      <alignment vertical="top"/>
    </xf>
    <xf numFmtId="14" fontId="3" fillId="0" borderId="0" xfId="0" applyNumberFormat="1" applyFont="1"/>
    <xf numFmtId="166" fontId="0" fillId="4" borderId="0" xfId="0" applyNumberFormat="1" applyFill="1"/>
    <xf numFmtId="166" fontId="4" fillId="4" borderId="0" xfId="0" applyNumberFormat="1" applyFont="1" applyFill="1"/>
    <xf numFmtId="166" fontId="0" fillId="0" borderId="0" xfId="0" applyNumberFormat="1" applyAlignment="1">
      <alignment horizontal="right"/>
    </xf>
    <xf numFmtId="44" fontId="0" fillId="0" borderId="0" xfId="0" applyNumberFormat="1" applyAlignment="1">
      <alignment horizontal="right"/>
    </xf>
    <xf numFmtId="44" fontId="0" fillId="0" borderId="0" xfId="0" applyNumberFormat="1"/>
    <xf numFmtId="0" fontId="4" fillId="0" borderId="0" xfId="0" applyFont="1"/>
    <xf numFmtId="1" fontId="4" fillId="0" borderId="0" xfId="0" applyNumberFormat="1" applyFont="1"/>
    <xf numFmtId="166" fontId="0" fillId="5" borderId="0" xfId="2" applyNumberFormat="1" applyFont="1" applyFill="1"/>
    <xf numFmtId="166" fontId="9" fillId="6" borderId="0" xfId="0" applyNumberFormat="1" applyFont="1" applyFill="1"/>
    <xf numFmtId="166" fontId="0" fillId="0" borderId="0" xfId="2" applyNumberFormat="1" applyFont="1" applyFill="1"/>
    <xf numFmtId="166" fontId="3" fillId="0" borderId="0" xfId="2" applyNumberFormat="1" applyFont="1" applyFill="1"/>
    <xf numFmtId="0" fontId="3" fillId="0" borderId="0" xfId="0" applyFont="1"/>
    <xf numFmtId="2" fontId="3" fillId="0" borderId="0" xfId="0" applyNumberFormat="1" applyFont="1"/>
    <xf numFmtId="2" fontId="0" fillId="0" borderId="0" xfId="3" applyNumberFormat="1" applyFont="1"/>
    <xf numFmtId="166" fontId="0" fillId="0" borderId="0" xfId="2" applyNumberFormat="1" applyFont="1"/>
    <xf numFmtId="0" fontId="0" fillId="7" borderId="0" xfId="0" applyFill="1"/>
    <xf numFmtId="0" fontId="3" fillId="7" borderId="0" xfId="0" applyFont="1" applyFill="1"/>
    <xf numFmtId="167" fontId="0" fillId="7" borderId="0" xfId="0" applyNumberFormat="1" applyFill="1"/>
    <xf numFmtId="166" fontId="0" fillId="7" borderId="0" xfId="0" applyNumberFormat="1" applyFill="1"/>
    <xf numFmtId="3" fontId="0" fillId="7" borderId="0" xfId="0" applyNumberFormat="1" applyFill="1"/>
    <xf numFmtId="10" fontId="0" fillId="7" borderId="0" xfId="3" applyNumberFormat="1" applyFont="1" applyFill="1" applyBorder="1"/>
    <xf numFmtId="167" fontId="0" fillId="7" borderId="0" xfId="1" applyNumberFormat="1" applyFont="1" applyFill="1" applyBorder="1"/>
    <xf numFmtId="43" fontId="0" fillId="7" borderId="0" xfId="0" applyNumberFormat="1" applyFill="1"/>
    <xf numFmtId="43" fontId="0" fillId="7" borderId="0" xfId="1" applyFont="1" applyFill="1" applyBorder="1"/>
    <xf numFmtId="10" fontId="0" fillId="7" borderId="0" xfId="3" applyNumberFormat="1" applyFont="1" applyFill="1"/>
    <xf numFmtId="167" fontId="0" fillId="7" borderId="0" xfId="1" applyNumberFormat="1" applyFont="1" applyFill="1"/>
    <xf numFmtId="43" fontId="0" fillId="7" borderId="0" xfId="1" applyFont="1" applyFill="1"/>
    <xf numFmtId="0" fontId="0" fillId="8" borderId="0" xfId="0" applyFill="1"/>
    <xf numFmtId="166" fontId="0" fillId="8" borderId="0" xfId="0" applyNumberFormat="1" applyFill="1"/>
    <xf numFmtId="0" fontId="11" fillId="0" borderId="0" xfId="0" applyFont="1"/>
    <xf numFmtId="0" fontId="12" fillId="0" borderId="0" xfId="0" applyFont="1"/>
    <xf numFmtId="10" fontId="0" fillId="0" borderId="0" xfId="0" applyNumberFormat="1"/>
    <xf numFmtId="10" fontId="12" fillId="0" borderId="0" xfId="0" applyNumberFormat="1" applyFont="1"/>
    <xf numFmtId="0" fontId="0" fillId="7" borderId="0" xfId="0" applyFill="1" applyAlignment="1">
      <alignment horizontal="left"/>
    </xf>
    <xf numFmtId="0" fontId="5" fillId="7" borderId="0" xfId="0" applyFont="1" applyFill="1" applyAlignment="1">
      <alignment horizontal="left"/>
    </xf>
    <xf numFmtId="9" fontId="0" fillId="0" borderId="0" xfId="0" applyNumberFormat="1"/>
    <xf numFmtId="8" fontId="12" fillId="0" borderId="0" xfId="0" applyNumberFormat="1" applyFont="1"/>
    <xf numFmtId="168" fontId="3" fillId="8" borderId="0" xfId="0" applyNumberFormat="1" applyFont="1" applyFill="1" applyAlignment="1">
      <alignment wrapText="1"/>
    </xf>
    <xf numFmtId="0" fontId="15" fillId="0" borderId="0" xfId="0" applyFont="1"/>
    <xf numFmtId="0" fontId="16" fillId="0" borderId="0" xfId="7" applyFont="1"/>
    <xf numFmtId="0" fontId="17" fillId="0" borderId="0" xfId="0" applyFont="1"/>
    <xf numFmtId="9" fontId="12" fillId="0" borderId="0" xfId="0" applyNumberFormat="1" applyFont="1"/>
    <xf numFmtId="0" fontId="18" fillId="0" borderId="0" xfId="0" applyFont="1"/>
    <xf numFmtId="0" fontId="11" fillId="9" borderId="0" xfId="0" applyFont="1" applyFill="1"/>
    <xf numFmtId="166" fontId="4" fillId="0" borderId="0" xfId="2" applyNumberFormat="1" applyFont="1"/>
    <xf numFmtId="44" fontId="3" fillId="0" borderId="0" xfId="0" applyNumberFormat="1" applyFont="1"/>
    <xf numFmtId="0" fontId="11" fillId="4" borderId="0" xfId="0" applyFont="1" applyFill="1" applyAlignment="1">
      <alignment wrapText="1"/>
    </xf>
    <xf numFmtId="0" fontId="12" fillId="0" borderId="0" xfId="0" applyFont="1" applyAlignment="1">
      <alignment horizontal="right"/>
    </xf>
    <xf numFmtId="0" fontId="0" fillId="10" borderId="0" xfId="0" applyFill="1"/>
    <xf numFmtId="0" fontId="3" fillId="7" borderId="0" xfId="0" applyFont="1" applyFill="1" applyAlignment="1">
      <alignment horizontal="right"/>
    </xf>
    <xf numFmtId="14" fontId="3" fillId="0" borderId="0" xfId="0" applyNumberFormat="1" applyFont="1" applyAlignment="1">
      <alignment horizontal="right"/>
    </xf>
    <xf numFmtId="168" fontId="4" fillId="8" borderId="0" xfId="0" applyNumberFormat="1" applyFont="1" applyFill="1" applyAlignment="1">
      <alignment horizontal="right"/>
    </xf>
    <xf numFmtId="8" fontId="4" fillId="0" borderId="0" xfId="0" applyNumberFormat="1" applyFont="1"/>
    <xf numFmtId="0" fontId="0" fillId="0" borderId="0" xfId="0" applyAlignment="1">
      <alignment horizontal="center"/>
    </xf>
    <xf numFmtId="168" fontId="3" fillId="7" borderId="0" xfId="0" applyNumberFormat="1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14" fillId="9" borderId="0" xfId="0" applyFont="1" applyFill="1"/>
    <xf numFmtId="0" fontId="19" fillId="9" borderId="0" xfId="0" applyFont="1" applyFill="1"/>
    <xf numFmtId="0" fontId="11" fillId="0" borderId="0" xfId="0" applyFont="1" applyAlignment="1">
      <alignment horizontal="center"/>
    </xf>
    <xf numFmtId="10" fontId="11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12" fillId="6" borderId="0" xfId="0" applyFont="1" applyFill="1"/>
    <xf numFmtId="0" fontId="0" fillId="6" borderId="0" xfId="0" applyFill="1"/>
    <xf numFmtId="0" fontId="12" fillId="11" borderId="0" xfId="0" applyFont="1" applyFill="1"/>
    <xf numFmtId="0" fontId="20" fillId="0" borderId="0" xfId="0" applyFont="1"/>
    <xf numFmtId="0" fontId="13" fillId="0" borderId="0" xfId="7"/>
    <xf numFmtId="0" fontId="11" fillId="11" borderId="1" xfId="0" applyFont="1" applyFill="1" applyBorder="1"/>
    <xf numFmtId="0" fontId="21" fillId="11" borderId="1" xfId="0" applyFont="1" applyFill="1" applyBorder="1"/>
    <xf numFmtId="0" fontId="11" fillId="9" borderId="0" xfId="0" applyFont="1" applyFill="1" applyAlignment="1">
      <alignment horizontal="right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 vertical="top"/>
    </xf>
    <xf numFmtId="8" fontId="12" fillId="0" borderId="0" xfId="0" applyNumberFormat="1" applyFont="1" applyAlignment="1">
      <alignment vertical="top"/>
    </xf>
    <xf numFmtId="0" fontId="20" fillId="0" borderId="0" xfId="0" applyFont="1" applyAlignment="1">
      <alignment wrapText="1"/>
    </xf>
  </cellXfs>
  <cellStyles count="8">
    <cellStyle name="Comma" xfId="1" builtinId="3"/>
    <cellStyle name="Comma 2" xfId="6" xr:uid="{D66AC142-B5E8-4A04-BE8B-236533B7A0BF}"/>
    <cellStyle name="Currency" xfId="2" builtinId="4"/>
    <cellStyle name="Hyperlink" xfId="7" builtinId="8"/>
    <cellStyle name="Normal" xfId="0" builtinId="0"/>
    <cellStyle name="Normal 2" xfId="4" xr:uid="{D7664C82-F9D6-4F52-9743-F9D853EE4F64}"/>
    <cellStyle name="Percent" xfId="3" builtinId="5"/>
    <cellStyle name="Percent 2" xfId="5" xr:uid="{081D9014-FF55-4C4A-A31F-ACBA8884789E}"/>
  </cellStyles>
  <dxfs count="0"/>
  <tableStyles count="0" defaultTableStyle="TableStyleMedium9"/>
  <colors>
    <mruColors>
      <color rgb="FF00D762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76250" cy="476250"/>
    <xdr:pic>
      <xdr:nvPicPr>
        <xdr:cNvPr id="2" name="Logo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76250" cy="476250"/>
    <xdr:pic>
      <xdr:nvPicPr>
        <xdr:cNvPr id="2" name="Logo" descr="Logo">
          <a:extLst>
            <a:ext uri="{FF2B5EF4-FFF2-40B4-BE49-F238E27FC236}">
              <a16:creationId xmlns:a16="http://schemas.microsoft.com/office/drawing/2014/main" id="{F0C5A22E-A3F2-4A49-A188-7CC1EDEB6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693419</xdr:colOff>
      <xdr:row>13</xdr:row>
      <xdr:rowOff>60324</xdr:rowOff>
    </xdr:from>
    <xdr:to>
      <xdr:col>9</xdr:col>
      <xdr:colOff>923924</xdr:colOff>
      <xdr:row>22</xdr:row>
      <xdr:rowOff>28575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E0A274BD-8092-6CCB-3AB6-5D5FB12C0F89}"/>
            </a:ext>
          </a:extLst>
        </xdr:cNvPr>
        <xdr:cNvSpPr txBox="1"/>
      </xdr:nvSpPr>
      <xdr:spPr>
        <a:xfrm>
          <a:off x="5093969" y="2165349"/>
          <a:ext cx="5135880" cy="142557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Estimate the per share value of HSY’s stock as of March 26, 2025 </a:t>
          </a:r>
          <a:endParaRPr lang="en-US">
            <a:effectLst/>
          </a:endParaRPr>
        </a:p>
        <a:p>
          <a:r>
            <a:rPr lang="en-US" sz="1100"/>
            <a:t>We are using Alternative Interpretation</a:t>
          </a:r>
          <a:r>
            <a:rPr lang="en-US" sz="1100" baseline="0"/>
            <a:t> data from BS and IS to calculate ROPI. All  numbers are IN THOUSANDS except Shares O/S and Firm Equity Value.</a:t>
          </a:r>
        </a:p>
        <a:p>
          <a:endParaRPr lang="en-US" sz="1100" baseline="0"/>
        </a:p>
        <a:p>
          <a:r>
            <a:rPr lang="en-US" sz="1100" baseline="0"/>
            <a:t>WACC = 5.61%</a:t>
          </a:r>
        </a:p>
        <a:p>
          <a:r>
            <a:rPr lang="en-US" sz="1100" baseline="0"/>
            <a:t>Growth Rate = 2%</a:t>
          </a:r>
        </a:p>
        <a:p>
          <a:r>
            <a:rPr lang="en-US" sz="1100" baseline="0"/>
            <a:t>Terminal Growth Rate = 1%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76250" cy="476250"/>
    <xdr:pic>
      <xdr:nvPicPr>
        <xdr:cNvPr id="2" name="Logo" descr="Logo">
          <a:extLst>
            <a:ext uri="{FF2B5EF4-FFF2-40B4-BE49-F238E27FC236}">
              <a16:creationId xmlns:a16="http://schemas.microsoft.com/office/drawing/2014/main" id="{C488533C-D4A9-4339-8DBC-C0647621C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76250" cy="476250"/>
    <xdr:pic>
      <xdr:nvPicPr>
        <xdr:cNvPr id="2" name="Logo" descr="Logo">
          <a:extLst>
            <a:ext uri="{FF2B5EF4-FFF2-40B4-BE49-F238E27FC236}">
              <a16:creationId xmlns:a16="http://schemas.microsoft.com/office/drawing/2014/main" id="{64307B61-702B-431D-9BF2-B61A7D64D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0</xdr:row>
      <xdr:rowOff>96518</xdr:rowOff>
    </xdr:from>
    <xdr:to>
      <xdr:col>16</xdr:col>
      <xdr:colOff>703580</xdr:colOff>
      <xdr:row>11</xdr:row>
      <xdr:rowOff>76199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767A5CF-1C43-4B54-97CE-A3B8BD9D66A0}"/>
            </a:ext>
          </a:extLst>
        </xdr:cNvPr>
        <xdr:cNvSpPr txBox="1"/>
      </xdr:nvSpPr>
      <xdr:spPr>
        <a:xfrm>
          <a:off x="11115675" y="96518"/>
          <a:ext cx="4913630" cy="186563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Estimate the per share value of HSY’s stock as of March 26, 2025 </a:t>
          </a:r>
          <a:endParaRPr lang="en-US">
            <a:effectLst/>
          </a:endParaRPr>
        </a:p>
        <a:p>
          <a:r>
            <a:rPr lang="en-US" sz="1100"/>
            <a:t>We are using Alternative Interpretation</a:t>
          </a:r>
          <a:r>
            <a:rPr lang="en-US" sz="1100" baseline="0"/>
            <a:t> data from BS and IS to calculate ROPI. All  numbers are IN THOUSANDS except Shares O/S and Firm Equity Value.</a:t>
          </a:r>
        </a:p>
        <a:p>
          <a:endParaRPr lang="en-US" sz="1100" baseline="0"/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Assumptions</a:t>
          </a:r>
          <a:r>
            <a:rPr lang="en-US"/>
            <a:t> </a:t>
          </a:r>
          <a:r>
            <a:rPr lang="en-US" b="1"/>
            <a:t>from</a:t>
          </a:r>
          <a:r>
            <a:rPr lang="en-US" b="1" baseline="0"/>
            <a:t> Sensitivity Analysis (Lower)</a:t>
          </a:r>
          <a:endParaRPr lang="en-US" b="1"/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Sales Growth</a:t>
          </a:r>
          <a:r>
            <a:rPr lang="en-US"/>
            <a:t>             1%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WACC</a:t>
          </a:r>
          <a:r>
            <a:rPr lang="en-US"/>
            <a:t>                         4.61%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Terminal Growth</a:t>
          </a:r>
          <a:r>
            <a:rPr lang="en-US"/>
            <a:t>      0.5%</a:t>
          </a:r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76250" cy="476250"/>
    <xdr:pic>
      <xdr:nvPicPr>
        <xdr:cNvPr id="2" name="Logo" descr="Logo">
          <a:extLst>
            <a:ext uri="{FF2B5EF4-FFF2-40B4-BE49-F238E27FC236}">
              <a16:creationId xmlns:a16="http://schemas.microsoft.com/office/drawing/2014/main" id="{2B2D8DAE-CE6B-4900-8BDE-91F78A245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76250" cy="476250"/>
    <xdr:pic>
      <xdr:nvPicPr>
        <xdr:cNvPr id="2" name="Logo" descr="Logo">
          <a:extLst>
            <a:ext uri="{FF2B5EF4-FFF2-40B4-BE49-F238E27FC236}">
              <a16:creationId xmlns:a16="http://schemas.microsoft.com/office/drawing/2014/main" id="{DE0BFC6B-A1C7-4E16-B645-9EBD4A303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0</xdr:row>
      <xdr:rowOff>96518</xdr:rowOff>
    </xdr:from>
    <xdr:to>
      <xdr:col>16</xdr:col>
      <xdr:colOff>703580</xdr:colOff>
      <xdr:row>11</xdr:row>
      <xdr:rowOff>76199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50B55BB-48CA-4340-8782-EDE1B2965B8F}"/>
            </a:ext>
          </a:extLst>
        </xdr:cNvPr>
        <xdr:cNvSpPr txBox="1"/>
      </xdr:nvSpPr>
      <xdr:spPr>
        <a:xfrm>
          <a:off x="11115675" y="92708"/>
          <a:ext cx="4917440" cy="186944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Estimate the per share value of HSY’s stock as of March 26, 2025 </a:t>
          </a:r>
          <a:endParaRPr lang="en-US">
            <a:effectLst/>
          </a:endParaRPr>
        </a:p>
        <a:p>
          <a:r>
            <a:rPr lang="en-US" sz="1100"/>
            <a:t>We are using Alternative Interpretation</a:t>
          </a:r>
          <a:r>
            <a:rPr lang="en-US" sz="1100" baseline="0"/>
            <a:t> data from BS and IS to calculate ROPI. All  numbers are IN THOUSANDS except Shares O/S and Firm Equity Value.</a:t>
          </a:r>
        </a:p>
        <a:p>
          <a:endParaRPr lang="en-US" sz="1100" baseline="0"/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Assumptions</a:t>
          </a:r>
          <a:r>
            <a:rPr lang="en-US"/>
            <a:t> </a:t>
          </a:r>
          <a:r>
            <a:rPr lang="en-US" b="1"/>
            <a:t>from</a:t>
          </a:r>
          <a:r>
            <a:rPr lang="en-US" b="1" baseline="0"/>
            <a:t> Sensitivity Analysis (Upper)</a:t>
          </a:r>
          <a:endParaRPr lang="en-US" b="1"/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Sales Growth</a:t>
          </a:r>
          <a:r>
            <a:rPr lang="en-US"/>
            <a:t>             3%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WACC</a:t>
          </a:r>
          <a:r>
            <a:rPr lang="en-US"/>
            <a:t>                         6.61%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Terminal Growth</a:t>
          </a:r>
          <a:r>
            <a:rPr lang="en-US"/>
            <a:t>      1.50%</a:t>
          </a:r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finance.yahoo.com/quote/HSY/history/https:/finance.yahoo.com/quote/HSY/history(Share%20Price%20as%20of%20Dec%2031%202024" TargetMode="External"/><Relationship Id="rId2" Type="http://schemas.openxmlformats.org/officeDocument/2006/relationships/hyperlink" Target="https://www.marketwatch.com/investing/stock/hsy/financials?mod=mw_quote_tab" TargetMode="External"/><Relationship Id="rId1" Type="http://schemas.openxmlformats.org/officeDocument/2006/relationships/hyperlink" Target="https://ycharts.com/indicators/10_year_treasury_rate" TargetMode="External"/><Relationship Id="rId5" Type="http://schemas.openxmlformats.org/officeDocument/2006/relationships/hyperlink" Target="https://www.moodys.com/entity/369000/overview" TargetMode="External"/><Relationship Id="rId4" Type="http://schemas.openxmlformats.org/officeDocument/2006/relationships/hyperlink" Target="https://finance.yahoo.com/quote/HS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FA0E9-1B62-4340-87B0-64D330827C4A}">
  <dimension ref="A1:G20"/>
  <sheetViews>
    <sheetView workbookViewId="0">
      <selection activeCell="E1" sqref="E1"/>
    </sheetView>
  </sheetViews>
  <sheetFormatPr defaultColWidth="11.5546875" defaultRowHeight="13.2" x14ac:dyDescent="0.25"/>
  <cols>
    <col min="3" max="3" width="17.109375" customWidth="1"/>
    <col min="5" max="5" width="19.109375" customWidth="1"/>
    <col min="6" max="6" width="19.5546875" bestFit="1" customWidth="1"/>
  </cols>
  <sheetData>
    <row r="1" spans="1:5" x14ac:dyDescent="0.25">
      <c r="A1" s="58" t="s">
        <v>175</v>
      </c>
      <c r="D1" s="88">
        <v>0.02</v>
      </c>
    </row>
    <row r="2" spans="1:5" x14ac:dyDescent="0.25">
      <c r="A2" s="113" t="s">
        <v>146</v>
      </c>
      <c r="B2" s="106"/>
      <c r="C2" s="106"/>
      <c r="D2" s="84">
        <v>0.01</v>
      </c>
    </row>
    <row r="3" spans="1:5" x14ac:dyDescent="0.25">
      <c r="A3" s="106" t="s">
        <v>114</v>
      </c>
      <c r="B3" s="106"/>
      <c r="C3" s="106"/>
      <c r="D3" s="88">
        <v>0.05</v>
      </c>
    </row>
    <row r="4" spans="1:5" x14ac:dyDescent="0.25">
      <c r="A4" s="106" t="s">
        <v>116</v>
      </c>
      <c r="B4" s="106"/>
      <c r="C4" s="106"/>
      <c r="D4" s="88">
        <v>0.21</v>
      </c>
      <c r="E4" t="s">
        <v>117</v>
      </c>
    </row>
    <row r="5" spans="1:5" x14ac:dyDescent="0.25">
      <c r="A5" s="106" t="s">
        <v>118</v>
      </c>
      <c r="B5" s="106"/>
      <c r="C5" s="106"/>
      <c r="D5" s="84">
        <v>0.52680000000000005</v>
      </c>
    </row>
    <row r="6" spans="1:5" x14ac:dyDescent="0.25">
      <c r="A6" s="106" t="s">
        <v>119</v>
      </c>
      <c r="B6" s="106"/>
      <c r="C6" s="106"/>
      <c r="D6" s="88">
        <v>0.21190000000000001</v>
      </c>
    </row>
    <row r="7" spans="1:5" x14ac:dyDescent="0.25">
      <c r="A7" t="s">
        <v>144</v>
      </c>
    </row>
    <row r="9" spans="1:5" x14ac:dyDescent="0.25">
      <c r="A9" s="58" t="s">
        <v>147</v>
      </c>
    </row>
    <row r="16" spans="1:5" x14ac:dyDescent="0.25">
      <c r="A16" s="106"/>
      <c r="B16" s="106"/>
      <c r="C16" s="106"/>
    </row>
    <row r="17" spans="1:7" x14ac:dyDescent="0.25">
      <c r="A17" s="106"/>
      <c r="B17" s="106"/>
      <c r="C17" s="106"/>
    </row>
    <row r="18" spans="1:7" ht="14.4" x14ac:dyDescent="0.3">
      <c r="E18" s="89"/>
      <c r="F18" s="83"/>
      <c r="G18" s="85"/>
    </row>
    <row r="19" spans="1:7" x14ac:dyDescent="0.25">
      <c r="A19" s="106"/>
      <c r="B19" s="106"/>
      <c r="C19" s="106"/>
    </row>
    <row r="20" spans="1:7" x14ac:dyDescent="0.25">
      <c r="A20" s="106"/>
      <c r="B20" s="106"/>
      <c r="C20" s="106"/>
    </row>
  </sheetData>
  <mergeCells count="9">
    <mergeCell ref="A16:C16"/>
    <mergeCell ref="A17:C17"/>
    <mergeCell ref="A19:C19"/>
    <mergeCell ref="A20:C20"/>
    <mergeCell ref="A2:C2"/>
    <mergeCell ref="A3:C3"/>
    <mergeCell ref="A4:C4"/>
    <mergeCell ref="A5:C5"/>
    <mergeCell ref="A6:C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1F5C6-15DF-4B21-8D0C-A87D7F14168E}">
  <dimension ref="A1:AR189"/>
  <sheetViews>
    <sheetView topLeftCell="J1" zoomScale="80" zoomScaleNormal="80" workbookViewId="0">
      <selection activeCell="AH14" sqref="AH14"/>
    </sheetView>
  </sheetViews>
  <sheetFormatPr defaultColWidth="8.77734375" defaultRowHeight="13.2" x14ac:dyDescent="0.25"/>
  <cols>
    <col min="1" max="1" width="53.6640625" bestFit="1" customWidth="1"/>
    <col min="3" max="3" width="12.6640625" customWidth="1"/>
    <col min="4" max="6" width="11.6640625" customWidth="1"/>
    <col min="7" max="7" width="12.109375" customWidth="1"/>
    <col min="8" max="9" width="11.6640625" customWidth="1"/>
    <col min="10" max="11" width="12.6640625" customWidth="1"/>
    <col min="12" max="12" width="28.44140625" customWidth="1"/>
    <col min="13" max="13" width="18.6640625" style="41" customWidth="1"/>
    <col min="14" max="14" width="14.6640625" style="41" customWidth="1"/>
    <col min="15" max="15" width="15.109375" style="41" customWidth="1"/>
    <col min="16" max="16" width="14.44140625" style="41" customWidth="1"/>
    <col min="17" max="17" width="16.109375" style="41" customWidth="1"/>
    <col min="18" max="18" width="15.77734375" style="41" customWidth="1"/>
    <col min="19" max="19" width="15.33203125" style="41" customWidth="1"/>
    <col min="20" max="21" width="12" customWidth="1"/>
    <col min="22" max="31" width="12" hidden="1" customWidth="1"/>
    <col min="32" max="37" width="12" customWidth="1"/>
    <col min="38" max="38" width="13.33203125" customWidth="1"/>
    <col min="39" max="189" width="12" customWidth="1"/>
  </cols>
  <sheetData>
    <row r="1" spans="1:38" x14ac:dyDescent="0.25">
      <c r="L1" s="90" t="s">
        <v>88</v>
      </c>
      <c r="M1" s="80">
        <v>2024</v>
      </c>
      <c r="N1" s="80">
        <v>2025</v>
      </c>
      <c r="O1" s="80">
        <v>2026</v>
      </c>
      <c r="P1" s="80">
        <v>2027</v>
      </c>
      <c r="Q1" s="80">
        <v>2028</v>
      </c>
      <c r="R1" s="80">
        <v>2029</v>
      </c>
      <c r="S1" s="104" t="s">
        <v>91</v>
      </c>
    </row>
    <row r="2" spans="1:38" x14ac:dyDescent="0.25">
      <c r="L2" s="80"/>
      <c r="M2" s="81">
        <v>11202263</v>
      </c>
      <c r="N2" s="81">
        <f>M2*(1+3%)</f>
        <v>11538330.890000001</v>
      </c>
      <c r="O2" s="81">
        <f t="shared" ref="O2:R2" si="0">N2*(1+3%)</f>
        <v>11884480.8167</v>
      </c>
      <c r="P2" s="81">
        <f t="shared" si="0"/>
        <v>12241015.241201</v>
      </c>
      <c r="Q2" s="81">
        <f t="shared" si="0"/>
        <v>12608245.698437031</v>
      </c>
      <c r="R2" s="81">
        <f t="shared" si="0"/>
        <v>12986493.069390142</v>
      </c>
      <c r="S2" s="81">
        <f>R2*(1+1.5%)</f>
        <v>13181290.465430994</v>
      </c>
    </row>
    <row r="4" spans="1:38" ht="21" x14ac:dyDescent="0.4">
      <c r="A4" s="1" t="s">
        <v>0</v>
      </c>
      <c r="AG4" s="58"/>
    </row>
    <row r="5" spans="1:38" x14ac:dyDescent="0.25">
      <c r="A5" s="2" t="s">
        <v>1</v>
      </c>
      <c r="C5" s="4" t="s">
        <v>11</v>
      </c>
      <c r="D5" s="4" t="s">
        <v>10</v>
      </c>
      <c r="E5" s="4" t="s">
        <v>9</v>
      </c>
      <c r="F5" s="4" t="s">
        <v>8</v>
      </c>
      <c r="G5" s="4" t="s">
        <v>7</v>
      </c>
      <c r="H5" s="4" t="s">
        <v>6</v>
      </c>
      <c r="I5" s="4" t="s">
        <v>5</v>
      </c>
      <c r="J5" s="4" t="s">
        <v>4</v>
      </c>
      <c r="K5" s="4" t="s">
        <v>3</v>
      </c>
      <c r="L5" s="4" t="s">
        <v>2</v>
      </c>
      <c r="M5" s="52">
        <v>45657</v>
      </c>
      <c r="N5" s="52">
        <v>46022</v>
      </c>
      <c r="O5" s="52">
        <v>46387</v>
      </c>
      <c r="P5" s="52">
        <v>46752</v>
      </c>
      <c r="Q5" s="52">
        <v>47118</v>
      </c>
      <c r="R5" s="52">
        <v>47483</v>
      </c>
      <c r="S5" s="103" t="s">
        <v>91</v>
      </c>
      <c r="AG5" s="68"/>
      <c r="AH5" s="68"/>
      <c r="AI5" s="68"/>
      <c r="AJ5" s="68"/>
      <c r="AK5" s="68"/>
      <c r="AL5" s="68"/>
    </row>
    <row r="6" spans="1:38" x14ac:dyDescent="0.25">
      <c r="A6" s="3" t="s">
        <v>12</v>
      </c>
      <c r="C6" s="43" t="s">
        <v>13</v>
      </c>
      <c r="D6" s="43" t="s">
        <v>13</v>
      </c>
      <c r="E6" s="43" t="s">
        <v>13</v>
      </c>
      <c r="F6" s="43" t="s">
        <v>13</v>
      </c>
      <c r="G6" s="43" t="s">
        <v>13</v>
      </c>
      <c r="H6" s="43" t="s">
        <v>13</v>
      </c>
      <c r="I6" s="43" t="s">
        <v>13</v>
      </c>
      <c r="J6" s="43" t="s">
        <v>13</v>
      </c>
      <c r="K6" s="43" t="s">
        <v>13</v>
      </c>
      <c r="L6" s="43" t="s">
        <v>13</v>
      </c>
      <c r="M6" s="44" t="s">
        <v>13</v>
      </c>
      <c r="N6" s="44"/>
      <c r="O6" s="44"/>
      <c r="P6" s="44"/>
      <c r="Q6" s="44"/>
      <c r="R6" s="44"/>
      <c r="S6" s="44"/>
      <c r="V6">
        <v>2014</v>
      </c>
      <c r="W6">
        <v>2015</v>
      </c>
      <c r="X6">
        <v>2016</v>
      </c>
      <c r="Y6">
        <v>2017</v>
      </c>
      <c r="Z6">
        <v>2018</v>
      </c>
      <c r="AA6">
        <v>2019</v>
      </c>
      <c r="AB6">
        <v>2020</v>
      </c>
      <c r="AC6">
        <v>2021</v>
      </c>
      <c r="AD6">
        <v>2022</v>
      </c>
      <c r="AE6">
        <v>2023</v>
      </c>
      <c r="AF6">
        <v>2024</v>
      </c>
      <c r="AG6" s="69">
        <v>2025</v>
      </c>
      <c r="AH6" s="69">
        <v>2026</v>
      </c>
      <c r="AI6" s="69">
        <v>2027</v>
      </c>
      <c r="AJ6" s="69">
        <v>2028</v>
      </c>
      <c r="AK6" s="69">
        <v>2029</v>
      </c>
      <c r="AL6" s="102" t="s">
        <v>104</v>
      </c>
    </row>
    <row r="7" spans="1:38" x14ac:dyDescent="0.25">
      <c r="A7" s="3" t="s">
        <v>14</v>
      </c>
      <c r="C7" s="43" t="s">
        <v>15</v>
      </c>
      <c r="D7" s="43" t="s">
        <v>15</v>
      </c>
      <c r="E7" s="43" t="s">
        <v>15</v>
      </c>
      <c r="F7" s="43" t="s">
        <v>15</v>
      </c>
      <c r="G7" s="43" t="s">
        <v>15</v>
      </c>
      <c r="H7" s="43" t="s">
        <v>15</v>
      </c>
      <c r="I7" s="43" t="s">
        <v>15</v>
      </c>
      <c r="J7" s="43" t="s">
        <v>15</v>
      </c>
      <c r="K7" s="43" t="s">
        <v>15</v>
      </c>
      <c r="L7" s="43" t="s">
        <v>15</v>
      </c>
      <c r="M7" s="44" t="s">
        <v>15</v>
      </c>
      <c r="N7" s="44"/>
      <c r="O7" s="44"/>
      <c r="P7" s="44"/>
      <c r="Q7" s="44"/>
      <c r="R7" s="44"/>
      <c r="S7" s="44"/>
      <c r="T7" t="s">
        <v>64</v>
      </c>
      <c r="V7" s="16">
        <f t="shared" ref="V7:AJ7" si="1">C9+C10+C11+C13+C14+C15+C16+C17</f>
        <v>5057016</v>
      </c>
      <c r="W7" s="16">
        <f t="shared" si="1"/>
        <v>4997842</v>
      </c>
      <c r="X7" s="16">
        <f t="shared" si="1"/>
        <v>5227366</v>
      </c>
      <c r="Y7" s="16">
        <f t="shared" si="1"/>
        <v>5173547</v>
      </c>
      <c r="Z7" s="16">
        <f t="shared" si="1"/>
        <v>7115022</v>
      </c>
      <c r="AA7" s="16">
        <f t="shared" si="1"/>
        <v>7647133</v>
      </c>
      <c r="AB7" s="16">
        <f t="shared" si="1"/>
        <v>7987858</v>
      </c>
      <c r="AC7" s="16">
        <f t="shared" si="1"/>
        <v>10082965</v>
      </c>
      <c r="AD7" s="16">
        <f t="shared" si="1"/>
        <v>10484931</v>
      </c>
      <c r="AE7" s="16">
        <f t="shared" si="1"/>
        <v>11501039</v>
      </c>
      <c r="AF7" s="16">
        <f t="shared" si="1"/>
        <v>12216115</v>
      </c>
      <c r="AG7" s="70">
        <f t="shared" si="1"/>
        <v>12582598.449999999</v>
      </c>
      <c r="AH7" s="70">
        <f t="shared" si="1"/>
        <v>12960076.403500002</v>
      </c>
      <c r="AI7" s="70">
        <f t="shared" si="1"/>
        <v>13348878.695605</v>
      </c>
      <c r="AJ7" s="70">
        <f t="shared" si="1"/>
        <v>13749345.056473153</v>
      </c>
      <c r="AK7" s="70">
        <f>R9+R10+R11+R13+R14+R15+R16+R17</f>
        <v>14161825.408167345</v>
      </c>
      <c r="AL7" s="70">
        <f>S9+S10+S11+S13+S14+S15+S16+S17</f>
        <v>14374252.789289854</v>
      </c>
    </row>
    <row r="8" spans="1:38" x14ac:dyDescent="0.25">
      <c r="A8" s="29" t="s">
        <v>16</v>
      </c>
      <c r="B8" s="30"/>
      <c r="C8" s="31">
        <v>471985</v>
      </c>
      <c r="D8" s="31">
        <v>346529</v>
      </c>
      <c r="E8" s="31">
        <v>296967</v>
      </c>
      <c r="F8" s="31">
        <v>380179</v>
      </c>
      <c r="G8" s="31">
        <v>587998</v>
      </c>
      <c r="H8" s="31">
        <v>493262</v>
      </c>
      <c r="I8" s="31">
        <v>1143987</v>
      </c>
      <c r="J8" s="31">
        <v>329266</v>
      </c>
      <c r="K8" s="31">
        <v>463889</v>
      </c>
      <c r="L8" s="31">
        <v>401902</v>
      </c>
      <c r="M8" s="31">
        <v>730746</v>
      </c>
      <c r="N8" s="31">
        <f>M42*$N$2</f>
        <v>752668.38</v>
      </c>
      <c r="O8" s="31">
        <f>M42*$O$2</f>
        <v>775248.4314</v>
      </c>
      <c r="P8" s="31">
        <f>M42*$P$2</f>
        <v>798505.884342</v>
      </c>
      <c r="Q8" s="31">
        <f>M42*$Q$2</f>
        <v>822461.06087226002</v>
      </c>
      <c r="R8" s="31">
        <f>M42*$R$2</f>
        <v>847134.8926984279</v>
      </c>
      <c r="S8" s="31">
        <f>M42*$S$2</f>
        <v>859841.91608890425</v>
      </c>
      <c r="T8" t="s">
        <v>65</v>
      </c>
      <c r="V8" s="16">
        <f t="shared" ref="V8:AL8" si="2">C19+C20+C21+C26+C27</f>
        <v>1925522</v>
      </c>
      <c r="W8" s="16">
        <f t="shared" si="2"/>
        <v>1876382</v>
      </c>
      <c r="X8" s="16">
        <f t="shared" si="2"/>
        <v>1716477</v>
      </c>
      <c r="Y8" s="16">
        <f t="shared" si="2"/>
        <v>1701681</v>
      </c>
      <c r="Z8" s="16">
        <f t="shared" si="2"/>
        <v>1838158</v>
      </c>
      <c r="AA8" s="16">
        <f t="shared" si="2"/>
        <v>2128916</v>
      </c>
      <c r="AB8" s="16">
        <f t="shared" si="2"/>
        <v>2291337</v>
      </c>
      <c r="AC8" s="16">
        <f t="shared" si="2"/>
        <v>2626108</v>
      </c>
      <c r="AD8" s="16">
        <f t="shared" si="2"/>
        <v>2857931</v>
      </c>
      <c r="AE8" s="16">
        <f t="shared" si="2"/>
        <v>2989826</v>
      </c>
      <c r="AF8" s="16">
        <f t="shared" si="2"/>
        <v>3130056</v>
      </c>
      <c r="AG8" s="70">
        <f t="shared" si="2"/>
        <v>3223957.68</v>
      </c>
      <c r="AH8" s="70">
        <f t="shared" si="2"/>
        <v>3320676.4104000004</v>
      </c>
      <c r="AI8" s="70">
        <f t="shared" si="2"/>
        <v>3420296.7027119999</v>
      </c>
      <c r="AJ8" s="70">
        <f t="shared" si="2"/>
        <v>3522905.6037933603</v>
      </c>
      <c r="AK8" s="70">
        <f t="shared" si="2"/>
        <v>3628592.771907161</v>
      </c>
      <c r="AL8" s="70">
        <f t="shared" si="2"/>
        <v>3683021.6634857687</v>
      </c>
    </row>
    <row r="9" spans="1:38" x14ac:dyDescent="0.25">
      <c r="A9" s="25" t="s">
        <v>17</v>
      </c>
      <c r="B9" s="26"/>
      <c r="C9" s="27">
        <v>596940</v>
      </c>
      <c r="D9" s="27">
        <v>599073</v>
      </c>
      <c r="E9" s="27">
        <v>581381</v>
      </c>
      <c r="F9" s="27">
        <v>588262</v>
      </c>
      <c r="G9" s="27">
        <v>594145</v>
      </c>
      <c r="H9" s="27">
        <v>568509</v>
      </c>
      <c r="I9" s="27">
        <v>615233</v>
      </c>
      <c r="J9" s="27">
        <v>671464</v>
      </c>
      <c r="K9" s="27">
        <v>711203</v>
      </c>
      <c r="L9" s="27">
        <v>823617</v>
      </c>
      <c r="M9" s="47">
        <v>800402</v>
      </c>
      <c r="N9" s="47">
        <f>M43*$N$2</f>
        <v>824414.06</v>
      </c>
      <c r="O9" s="60">
        <f>M43*$O$2</f>
        <v>849146.48180000007</v>
      </c>
      <c r="P9" s="60">
        <f>M43*$P$2</f>
        <v>874620.876254</v>
      </c>
      <c r="Q9" s="60">
        <f>M43*$Q$2</f>
        <v>900859.50254162005</v>
      </c>
      <c r="R9" s="60">
        <f>M43*$R$2</f>
        <v>927885.28761786874</v>
      </c>
      <c r="S9" s="60">
        <f>M43*$S$2</f>
        <v>941803.56693213666</v>
      </c>
      <c r="T9" t="s">
        <v>66</v>
      </c>
      <c r="V9" s="16">
        <f>V7-V8</f>
        <v>3131494</v>
      </c>
      <c r="W9" s="16">
        <f t="shared" ref="W9:AD9" si="3">W7-W8</f>
        <v>3121460</v>
      </c>
      <c r="X9" s="16">
        <f t="shared" si="3"/>
        <v>3510889</v>
      </c>
      <c r="Y9" s="16">
        <f t="shared" si="3"/>
        <v>3471866</v>
      </c>
      <c r="Z9" s="16">
        <f t="shared" si="3"/>
        <v>5276864</v>
      </c>
      <c r="AA9" s="16">
        <f t="shared" si="3"/>
        <v>5518217</v>
      </c>
      <c r="AB9" s="16">
        <f t="shared" si="3"/>
        <v>5696521</v>
      </c>
      <c r="AC9" s="16">
        <f t="shared" si="3"/>
        <v>7456857</v>
      </c>
      <c r="AD9" s="16">
        <f t="shared" si="3"/>
        <v>7627000</v>
      </c>
      <c r="AE9" s="16">
        <f>AE7-AE8</f>
        <v>8511213</v>
      </c>
      <c r="AF9" s="16">
        <f>AF7-AF8</f>
        <v>9086059</v>
      </c>
      <c r="AG9" s="70">
        <f t="shared" ref="AG9:AL9" si="4">AG7-AG8</f>
        <v>9358640.7699999996</v>
      </c>
      <c r="AH9" s="70">
        <f t="shared" si="4"/>
        <v>9639399.9931000024</v>
      </c>
      <c r="AI9" s="70">
        <f t="shared" si="4"/>
        <v>9928581.9928930011</v>
      </c>
      <c r="AJ9" s="70">
        <f t="shared" si="4"/>
        <v>10226439.452679792</v>
      </c>
      <c r="AK9" s="70">
        <f t="shared" si="4"/>
        <v>10533232.636260185</v>
      </c>
      <c r="AL9" s="70">
        <f t="shared" si="4"/>
        <v>10691231.125804085</v>
      </c>
    </row>
    <row r="10" spans="1:38" x14ac:dyDescent="0.25">
      <c r="A10" s="25" t="s">
        <v>18</v>
      </c>
      <c r="B10" s="26"/>
      <c r="C10" s="27">
        <v>801036</v>
      </c>
      <c r="D10" s="27">
        <v>750970</v>
      </c>
      <c r="E10" s="27">
        <v>745678</v>
      </c>
      <c r="F10" s="27">
        <v>752836</v>
      </c>
      <c r="G10" s="27">
        <v>784879</v>
      </c>
      <c r="H10" s="27">
        <v>815251</v>
      </c>
      <c r="I10" s="27">
        <v>964207</v>
      </c>
      <c r="J10" s="27">
        <v>988511</v>
      </c>
      <c r="K10" s="27">
        <v>1173119</v>
      </c>
      <c r="L10" s="27">
        <v>1340996</v>
      </c>
      <c r="M10" s="47">
        <v>1254094</v>
      </c>
      <c r="N10" s="47">
        <f>M44*$N$2</f>
        <v>1291716.82</v>
      </c>
      <c r="O10" s="60">
        <f>M44*$O$2</f>
        <v>1330468.3246000002</v>
      </c>
      <c r="P10" s="60">
        <f>M44*$P$2</f>
        <v>1370382.3743380001</v>
      </c>
      <c r="Q10" s="60">
        <f t="shared" ref="Q10:Q36" si="5">M44*$Q$2</f>
        <v>1411493.8455681403</v>
      </c>
      <c r="R10" s="60">
        <f t="shared" ref="R10:R36" si="6">M44*$R$2</f>
        <v>1453838.6609351845</v>
      </c>
      <c r="S10" s="60">
        <f>M44*$S$2</f>
        <v>1475646.240849212</v>
      </c>
      <c r="T10" t="s">
        <v>67</v>
      </c>
      <c r="V10" s="16"/>
      <c r="W10" s="16">
        <f>AVERAGE(V9:W9)</f>
        <v>3126477</v>
      </c>
      <c r="X10" s="16">
        <f t="shared" ref="X10:AD10" si="7">AVERAGE(W9:X9)</f>
        <v>3316174.5</v>
      </c>
      <c r="Y10" s="16">
        <f t="shared" si="7"/>
        <v>3491377.5</v>
      </c>
      <c r="Z10" s="16">
        <f t="shared" si="7"/>
        <v>4374365</v>
      </c>
      <c r="AA10" s="16">
        <f t="shared" si="7"/>
        <v>5397540.5</v>
      </c>
      <c r="AB10" s="16">
        <f t="shared" si="7"/>
        <v>5607369</v>
      </c>
      <c r="AC10" s="16">
        <f t="shared" si="7"/>
        <v>6576689</v>
      </c>
      <c r="AD10" s="16">
        <f t="shared" si="7"/>
        <v>7541928.5</v>
      </c>
      <c r="AE10" s="16">
        <f>AVERAGE(AD9:AE9)</f>
        <v>8069106.5</v>
      </c>
      <c r="AF10" s="16">
        <f>AVERAGE(AE9:AF9)</f>
        <v>8798636</v>
      </c>
      <c r="AG10" s="70">
        <f t="shared" ref="AG10:AL10" si="8">AVERAGE(AF9:AG9)</f>
        <v>9222349.8849999998</v>
      </c>
      <c r="AH10" s="70">
        <f t="shared" si="8"/>
        <v>9499020.381550001</v>
      </c>
      <c r="AI10" s="70">
        <f t="shared" si="8"/>
        <v>9783990.9929965027</v>
      </c>
      <c r="AJ10" s="70">
        <f t="shared" si="8"/>
        <v>10077510.722786397</v>
      </c>
      <c r="AK10" s="70">
        <f t="shared" si="8"/>
        <v>10379836.04446999</v>
      </c>
      <c r="AL10" s="70">
        <f t="shared" si="8"/>
        <v>10612231.881032135</v>
      </c>
    </row>
    <row r="11" spans="1:38" x14ac:dyDescent="0.25">
      <c r="A11" s="25" t="s">
        <v>20</v>
      </c>
      <c r="B11" s="26"/>
      <c r="C11" s="27">
        <v>276571</v>
      </c>
      <c r="D11" s="27">
        <v>152026</v>
      </c>
      <c r="E11" s="27">
        <v>192752</v>
      </c>
      <c r="F11" s="27">
        <v>280633</v>
      </c>
      <c r="G11" s="27">
        <v>272159</v>
      </c>
      <c r="H11" s="27">
        <v>240080</v>
      </c>
      <c r="I11" s="27">
        <v>254478</v>
      </c>
      <c r="J11" s="27">
        <v>256965</v>
      </c>
      <c r="K11" s="27">
        <v>272195</v>
      </c>
      <c r="L11" s="27">
        <v>345588</v>
      </c>
      <c r="M11" s="47">
        <v>974215</v>
      </c>
      <c r="N11" s="47">
        <f>M45*$N$2</f>
        <v>1003441.45</v>
      </c>
      <c r="O11" s="60">
        <f>M45*$O$2</f>
        <v>1033544.6934999999</v>
      </c>
      <c r="P11" s="60">
        <f>M45*$P$2</f>
        <v>1064551.034305</v>
      </c>
      <c r="Q11" s="60">
        <f t="shared" si="5"/>
        <v>1096487.5653341501</v>
      </c>
      <c r="R11" s="60">
        <f t="shared" si="6"/>
        <v>1129382.1922941746</v>
      </c>
      <c r="S11" s="60">
        <f>M45*$S$2</f>
        <v>1146322.925178587</v>
      </c>
      <c r="AG11" s="68"/>
      <c r="AH11" s="68"/>
      <c r="AI11" s="68"/>
      <c r="AJ11" s="68"/>
      <c r="AK11" s="68"/>
      <c r="AL11" s="68"/>
    </row>
    <row r="12" spans="1:38" x14ac:dyDescent="0.25">
      <c r="A12" s="11" t="s">
        <v>21</v>
      </c>
      <c r="B12" s="12"/>
      <c r="C12" s="14">
        <v>2247047</v>
      </c>
      <c r="D12" s="14">
        <v>1848598</v>
      </c>
      <c r="E12" s="14">
        <v>1816778</v>
      </c>
      <c r="F12" s="14">
        <v>2001910</v>
      </c>
      <c r="G12" s="14">
        <v>2239181</v>
      </c>
      <c r="H12" s="14">
        <v>2117102</v>
      </c>
      <c r="I12" s="14">
        <v>2977905</v>
      </c>
      <c r="J12" s="14">
        <v>2246206</v>
      </c>
      <c r="K12" s="14">
        <v>2620406</v>
      </c>
      <c r="L12" s="14">
        <v>2912103</v>
      </c>
      <c r="M12" s="45">
        <v>3759457</v>
      </c>
      <c r="N12" s="45">
        <f t="shared" ref="N12:S12" si="9">SUM(N8:N11)</f>
        <v>3872240.71</v>
      </c>
      <c r="O12" s="45">
        <f t="shared" si="9"/>
        <v>3988407.9313000003</v>
      </c>
      <c r="P12" s="63">
        <f t="shared" si="9"/>
        <v>4108060.1692390004</v>
      </c>
      <c r="Q12" s="63">
        <f t="shared" si="9"/>
        <v>4231301.9743161704</v>
      </c>
      <c r="R12" s="63">
        <f t="shared" si="9"/>
        <v>4358241.0335456561</v>
      </c>
      <c r="S12" s="63">
        <f t="shared" si="9"/>
        <v>4423614.6490488406</v>
      </c>
      <c r="T12" t="s">
        <v>68</v>
      </c>
      <c r="V12" s="15">
        <f t="shared" ref="V12:AL12" si="10">C22+C23+C25</f>
        <v>2184464</v>
      </c>
      <c r="W12" s="15">
        <f t="shared" si="10"/>
        <v>2420527</v>
      </c>
      <c r="X12" s="15">
        <f t="shared" si="10"/>
        <v>2980169</v>
      </c>
      <c r="Y12" s="15">
        <f t="shared" si="10"/>
        <v>2920480</v>
      </c>
      <c r="Z12" s="15">
        <f t="shared" si="10"/>
        <v>4457596</v>
      </c>
      <c r="AA12" s="15">
        <f t="shared" si="10"/>
        <v>4266485</v>
      </c>
      <c r="AB12" s="15">
        <f t="shared" si="10"/>
        <v>4602625</v>
      </c>
      <c r="AC12" s="15">
        <f t="shared" si="10"/>
        <v>5028894</v>
      </c>
      <c r="AD12" s="15">
        <f t="shared" si="10"/>
        <v>4791345</v>
      </c>
      <c r="AE12" s="15">
        <f t="shared" si="10"/>
        <v>4814029</v>
      </c>
      <c r="AF12" s="15">
        <f t="shared" si="10"/>
        <v>5102151</v>
      </c>
      <c r="AG12" s="71">
        <f t="shared" si="10"/>
        <v>5255215.53</v>
      </c>
      <c r="AH12" s="71">
        <f t="shared" si="10"/>
        <v>5412871.9958999995</v>
      </c>
      <c r="AI12" s="71">
        <f t="shared" si="10"/>
        <v>5575258.1557769999</v>
      </c>
      <c r="AJ12" s="71">
        <f t="shared" si="10"/>
        <v>5742515.9004503097</v>
      </c>
      <c r="AK12" s="71">
        <f t="shared" si="10"/>
        <v>5914791.3774638195</v>
      </c>
      <c r="AL12" s="71">
        <f t="shared" si="10"/>
        <v>6003513.2481257766</v>
      </c>
    </row>
    <row r="13" spans="1:38" x14ac:dyDescent="0.25">
      <c r="A13" s="25" t="s">
        <v>22</v>
      </c>
      <c r="B13" s="26"/>
      <c r="C13" s="27">
        <v>2151901</v>
      </c>
      <c r="D13" s="27">
        <v>2240460</v>
      </c>
      <c r="E13" s="27">
        <v>2177248</v>
      </c>
      <c r="F13" s="27">
        <v>2106697</v>
      </c>
      <c r="G13" s="27">
        <v>2130294</v>
      </c>
      <c r="H13" s="27">
        <v>2153139</v>
      </c>
      <c r="I13" s="27">
        <v>2285255</v>
      </c>
      <c r="J13" s="27">
        <v>2586187</v>
      </c>
      <c r="K13" s="27">
        <v>2769702</v>
      </c>
      <c r="L13" s="27">
        <v>3309678</v>
      </c>
      <c r="M13" s="47">
        <v>3458853</v>
      </c>
      <c r="N13" s="47">
        <f>M47*$N$2</f>
        <v>3562618.5900000003</v>
      </c>
      <c r="O13" s="60">
        <f>M47*$O$2</f>
        <v>3669497.1477000001</v>
      </c>
      <c r="P13" s="60">
        <f>M47*$P$2</f>
        <v>3779582.0621310002</v>
      </c>
      <c r="Q13" s="60">
        <f t="shared" si="5"/>
        <v>3892969.5239949306</v>
      </c>
      <c r="R13" s="60">
        <f t="shared" si="6"/>
        <v>4009758.6097147781</v>
      </c>
      <c r="S13" s="60">
        <f t="shared" ref="S13:S36" si="11">M47*$S$2</f>
        <v>4069904.9888604996</v>
      </c>
      <c r="T13" t="s">
        <v>69</v>
      </c>
      <c r="V13" s="16">
        <f t="shared" ref="V13:AJ13" si="12">C8</f>
        <v>471985</v>
      </c>
      <c r="W13" s="16">
        <f t="shared" si="12"/>
        <v>346529</v>
      </c>
      <c r="X13" s="16">
        <f t="shared" si="12"/>
        <v>296967</v>
      </c>
      <c r="Y13" s="16">
        <f t="shared" si="12"/>
        <v>380179</v>
      </c>
      <c r="Z13" s="16">
        <f t="shared" si="12"/>
        <v>587998</v>
      </c>
      <c r="AA13" s="16">
        <f t="shared" si="12"/>
        <v>493262</v>
      </c>
      <c r="AB13" s="16">
        <f t="shared" si="12"/>
        <v>1143987</v>
      </c>
      <c r="AC13" s="16">
        <f t="shared" si="12"/>
        <v>329266</v>
      </c>
      <c r="AD13" s="16">
        <f t="shared" si="12"/>
        <v>463889</v>
      </c>
      <c r="AE13" s="16">
        <f t="shared" si="12"/>
        <v>401902</v>
      </c>
      <c r="AF13" s="16">
        <f t="shared" si="12"/>
        <v>730746</v>
      </c>
      <c r="AG13" s="70">
        <f t="shared" si="12"/>
        <v>752668.38</v>
      </c>
      <c r="AH13" s="70">
        <f t="shared" si="12"/>
        <v>775248.4314</v>
      </c>
      <c r="AI13" s="70">
        <f t="shared" si="12"/>
        <v>798505.884342</v>
      </c>
      <c r="AJ13" s="70">
        <f t="shared" si="12"/>
        <v>822461.06087226002</v>
      </c>
      <c r="AK13" s="70">
        <f>R8</f>
        <v>847134.8926984279</v>
      </c>
      <c r="AL13" s="70">
        <f>S8</f>
        <v>859841.91608890425</v>
      </c>
    </row>
    <row r="14" spans="1:38" x14ac:dyDescent="0.25">
      <c r="A14" s="25" t="s">
        <v>23</v>
      </c>
      <c r="B14" s="26"/>
      <c r="C14" s="27">
        <v>792955</v>
      </c>
      <c r="D14" s="27">
        <v>684252</v>
      </c>
      <c r="E14" s="27">
        <v>812344</v>
      </c>
      <c r="F14" s="27">
        <v>821061</v>
      </c>
      <c r="G14" s="27">
        <v>1801103</v>
      </c>
      <c r="H14" s="27">
        <v>1985955</v>
      </c>
      <c r="I14" s="27">
        <v>1988215</v>
      </c>
      <c r="J14" s="27">
        <v>2633174</v>
      </c>
      <c r="K14" s="27">
        <v>2606956</v>
      </c>
      <c r="L14" s="27">
        <v>2696050</v>
      </c>
      <c r="M14" s="48">
        <v>2705753</v>
      </c>
      <c r="N14" s="47">
        <f t="shared" ref="N14:N17" si="13">M48*$N$2</f>
        <v>2786925.5900000003</v>
      </c>
      <c r="O14" s="60">
        <f>M48*$O$2</f>
        <v>2870533.3577000001</v>
      </c>
      <c r="P14" s="60">
        <f>M48*$P$2</f>
        <v>2956649.3584310003</v>
      </c>
      <c r="Q14" s="60">
        <f t="shared" si="5"/>
        <v>3045348.8391839303</v>
      </c>
      <c r="R14" s="60">
        <f t="shared" si="6"/>
        <v>3136709.3043594486</v>
      </c>
      <c r="S14" s="60">
        <f t="shared" si="11"/>
        <v>3183759.9439248401</v>
      </c>
      <c r="T14" s="16" t="s">
        <v>70</v>
      </c>
      <c r="U14" s="16"/>
      <c r="V14" s="16">
        <f>V12-V13</f>
        <v>1712479</v>
      </c>
      <c r="W14" s="16">
        <f t="shared" ref="W14:AD14" si="14">W12-W13</f>
        <v>2073998</v>
      </c>
      <c r="X14" s="16">
        <f t="shared" si="14"/>
        <v>2683202</v>
      </c>
      <c r="Y14" s="16">
        <f t="shared" si="14"/>
        <v>2540301</v>
      </c>
      <c r="Z14" s="16">
        <f t="shared" si="14"/>
        <v>3869598</v>
      </c>
      <c r="AA14" s="16">
        <f t="shared" si="14"/>
        <v>3773223</v>
      </c>
      <c r="AB14" s="16">
        <f t="shared" si="14"/>
        <v>3458638</v>
      </c>
      <c r="AC14" s="16">
        <f t="shared" si="14"/>
        <v>4699628</v>
      </c>
      <c r="AD14" s="16">
        <f t="shared" si="14"/>
        <v>4327456</v>
      </c>
      <c r="AE14" s="16">
        <f>AE12-AE13</f>
        <v>4412127</v>
      </c>
      <c r="AF14" s="16">
        <f>AF12-AF13</f>
        <v>4371405</v>
      </c>
      <c r="AG14" s="70">
        <f t="shared" ref="AG14:AL14" si="15">AG12-AG13</f>
        <v>4502547.1500000004</v>
      </c>
      <c r="AH14" s="70">
        <f t="shared" si="15"/>
        <v>4637623.5644999994</v>
      </c>
      <c r="AI14" s="70">
        <f t="shared" si="15"/>
        <v>4776752.271435</v>
      </c>
      <c r="AJ14" s="70">
        <f t="shared" si="15"/>
        <v>4920054.8395780493</v>
      </c>
      <c r="AK14" s="70">
        <f t="shared" si="15"/>
        <v>5067656.4847653918</v>
      </c>
      <c r="AL14" s="70">
        <f t="shared" si="15"/>
        <v>5143671.3320368724</v>
      </c>
    </row>
    <row r="15" spans="1:38" x14ac:dyDescent="0.25">
      <c r="A15" s="25" t="s">
        <v>24</v>
      </c>
      <c r="B15" s="26"/>
      <c r="C15" s="27">
        <v>294841</v>
      </c>
      <c r="D15" s="27">
        <v>379305</v>
      </c>
      <c r="E15" s="27">
        <v>492737</v>
      </c>
      <c r="F15" s="27">
        <v>369156</v>
      </c>
      <c r="G15" s="27">
        <v>1278292</v>
      </c>
      <c r="H15" s="27">
        <v>1341166</v>
      </c>
      <c r="I15" s="27">
        <v>1295214</v>
      </c>
      <c r="J15" s="27">
        <v>2037588</v>
      </c>
      <c r="K15" s="27">
        <v>1966269</v>
      </c>
      <c r="L15" s="27">
        <v>1879229</v>
      </c>
      <c r="M15" s="48">
        <v>1873866</v>
      </c>
      <c r="N15" s="47">
        <f t="shared" si="13"/>
        <v>1930081.98</v>
      </c>
      <c r="O15" s="60">
        <f>M49*$O$2</f>
        <v>1987984.4393999998</v>
      </c>
      <c r="P15" s="60">
        <f>M49*$P$2</f>
        <v>2047623.9725819998</v>
      </c>
      <c r="Q15" s="60">
        <f t="shared" si="5"/>
        <v>2109052.6917594601</v>
      </c>
      <c r="R15" s="60">
        <f t="shared" si="6"/>
        <v>2172324.2725122441</v>
      </c>
      <c r="S15" s="60">
        <f t="shared" si="11"/>
        <v>2204909.1365999272</v>
      </c>
      <c r="T15" t="s">
        <v>71</v>
      </c>
      <c r="V15" s="16"/>
      <c r="W15" s="16">
        <f>AVERAGE(V14:W14)</f>
        <v>1893238.5</v>
      </c>
      <c r="X15" s="16">
        <f t="shared" ref="X15:AD15" si="16">AVERAGE(W14:X14)</f>
        <v>2378600</v>
      </c>
      <c r="Y15" s="16">
        <f t="shared" si="16"/>
        <v>2611751.5</v>
      </c>
      <c r="Z15" s="16">
        <f t="shared" si="16"/>
        <v>3204949.5</v>
      </c>
      <c r="AA15" s="16">
        <f t="shared" si="16"/>
        <v>3821410.5</v>
      </c>
      <c r="AB15" s="16">
        <f t="shared" si="16"/>
        <v>3615930.5</v>
      </c>
      <c r="AC15" s="16">
        <f t="shared" si="16"/>
        <v>4079133</v>
      </c>
      <c r="AD15" s="16">
        <f t="shared" si="16"/>
        <v>4513542</v>
      </c>
      <c r="AE15" s="16">
        <f>AVERAGE(AD14:AE14)</f>
        <v>4369791.5</v>
      </c>
      <c r="AF15" s="16">
        <f>AVERAGE(AE14:AF14)</f>
        <v>4391766</v>
      </c>
      <c r="AG15" s="70">
        <f t="shared" ref="AG15:AL15" si="17">AVERAGE(AF14:AG14)</f>
        <v>4436976.0750000002</v>
      </c>
      <c r="AH15" s="70">
        <f t="shared" si="17"/>
        <v>4570085.3572499994</v>
      </c>
      <c r="AI15" s="70">
        <f t="shared" si="17"/>
        <v>4707187.9179675002</v>
      </c>
      <c r="AJ15" s="70">
        <f t="shared" si="17"/>
        <v>4848403.5555065246</v>
      </c>
      <c r="AK15" s="70">
        <f t="shared" si="17"/>
        <v>4993855.6621717205</v>
      </c>
      <c r="AL15" s="70">
        <f t="shared" si="17"/>
        <v>5105663.9084011316</v>
      </c>
    </row>
    <row r="16" spans="1:38" x14ac:dyDescent="0.25">
      <c r="A16" s="25" t="s">
        <v>25</v>
      </c>
      <c r="B16" s="26"/>
      <c r="C16" s="28">
        <v>142772</v>
      </c>
      <c r="D16" s="28">
        <v>155366</v>
      </c>
      <c r="E16" s="27">
        <v>168365</v>
      </c>
      <c r="F16" s="27">
        <v>251879</v>
      </c>
      <c r="G16" s="27">
        <v>252984</v>
      </c>
      <c r="H16" s="27">
        <v>512000</v>
      </c>
      <c r="I16" s="27">
        <v>555887</v>
      </c>
      <c r="J16" s="27">
        <v>868203</v>
      </c>
      <c r="K16" s="27">
        <v>944989</v>
      </c>
      <c r="L16" s="27">
        <v>1061427</v>
      </c>
      <c r="M16" s="48">
        <v>1111867</v>
      </c>
      <c r="N16" s="47">
        <f t="shared" si="13"/>
        <v>1145223.01</v>
      </c>
      <c r="O16" s="60">
        <f>M50*$O$2</f>
        <v>1179579.7003000001</v>
      </c>
      <c r="P16" s="60">
        <f>M50*$P$2</f>
        <v>1214967.091309</v>
      </c>
      <c r="Q16" s="60">
        <f t="shared" si="5"/>
        <v>1251416.1040482703</v>
      </c>
      <c r="R16" s="60">
        <f t="shared" si="6"/>
        <v>1288958.5871697182</v>
      </c>
      <c r="S16" s="60">
        <f t="shared" si="11"/>
        <v>1308292.9659772639</v>
      </c>
      <c r="AG16" s="72"/>
      <c r="AH16" s="72"/>
      <c r="AI16" s="72"/>
      <c r="AJ16" s="72"/>
      <c r="AK16" s="72"/>
      <c r="AL16" s="68"/>
    </row>
    <row r="17" spans="1:44" x14ac:dyDescent="0.25">
      <c r="A17" s="25" t="s">
        <v>19</v>
      </c>
      <c r="B17" s="26"/>
      <c r="C17" s="28">
        <v>0</v>
      </c>
      <c r="D17" s="27">
        <v>36390</v>
      </c>
      <c r="E17" s="27">
        <v>56861</v>
      </c>
      <c r="F17" s="27">
        <v>3023</v>
      </c>
      <c r="G17" s="27">
        <v>1166</v>
      </c>
      <c r="H17" s="27">
        <v>31033</v>
      </c>
      <c r="I17" s="27">
        <v>29369</v>
      </c>
      <c r="J17" s="27">
        <v>40873</v>
      </c>
      <c r="K17" s="27">
        <v>40498</v>
      </c>
      <c r="L17" s="27">
        <v>44454</v>
      </c>
      <c r="M17" s="48">
        <v>37065</v>
      </c>
      <c r="N17" s="47">
        <f t="shared" si="13"/>
        <v>38176.949999999997</v>
      </c>
      <c r="O17" s="60">
        <f>M51*$O$2</f>
        <v>39322.258499999996</v>
      </c>
      <c r="P17" s="60">
        <f>M51*$P$2</f>
        <v>40501.926254999998</v>
      </c>
      <c r="Q17" s="60">
        <f t="shared" si="5"/>
        <v>41716.984042650001</v>
      </c>
      <c r="R17" s="60">
        <f t="shared" si="6"/>
        <v>42968.4935639295</v>
      </c>
      <c r="S17" s="60">
        <f t="shared" si="11"/>
        <v>43613.020967388446</v>
      </c>
      <c r="T17" t="s">
        <v>72</v>
      </c>
      <c r="V17" s="17">
        <f>IS!C8</f>
        <v>7421768</v>
      </c>
      <c r="W17" s="17">
        <f>IS!D8</f>
        <v>7386626</v>
      </c>
      <c r="X17" s="17">
        <f>IS!E8</f>
        <v>7440181</v>
      </c>
      <c r="Y17" s="17">
        <f>IS!F8</f>
        <v>7515426</v>
      </c>
      <c r="Z17" s="17">
        <f>IS!G8</f>
        <v>7791069</v>
      </c>
      <c r="AA17" s="17">
        <f>IS!H8</f>
        <v>7986252</v>
      </c>
      <c r="AB17" s="17">
        <f>IS!I8</f>
        <v>8149719</v>
      </c>
      <c r="AC17" s="17">
        <f>IS!J8</f>
        <v>8971337</v>
      </c>
      <c r="AD17" s="17">
        <f>IS!K8</f>
        <v>10419294</v>
      </c>
      <c r="AE17" s="17">
        <f>IS!L8</f>
        <v>11164992</v>
      </c>
      <c r="AF17" s="17">
        <f>SAISUpper!M8</f>
        <v>11202263</v>
      </c>
      <c r="AG17" s="17">
        <f>SAISUpper!N8</f>
        <v>11538330.890000001</v>
      </c>
      <c r="AH17" s="17">
        <f>SAISUpper!O8</f>
        <v>11884480.8167</v>
      </c>
      <c r="AI17" s="17">
        <f>SAISUpper!P8</f>
        <v>12241015.241201</v>
      </c>
      <c r="AJ17" s="17">
        <f>SAISUpper!Q8</f>
        <v>12608245.698437031</v>
      </c>
      <c r="AK17" s="17">
        <f>SAISUpper!R8</f>
        <v>12986493.069390142</v>
      </c>
      <c r="AL17" s="17">
        <f>SAISUpper!S8</f>
        <v>13181290.465430994</v>
      </c>
    </row>
    <row r="18" spans="1:44" x14ac:dyDescent="0.25">
      <c r="A18" s="11" t="s">
        <v>26</v>
      </c>
      <c r="B18" s="12"/>
      <c r="C18" s="14">
        <v>5629516</v>
      </c>
      <c r="D18" s="14">
        <v>5344371</v>
      </c>
      <c r="E18" s="14">
        <v>5524333</v>
      </c>
      <c r="F18" s="14">
        <v>5553726</v>
      </c>
      <c r="G18" s="14">
        <v>7703020</v>
      </c>
      <c r="H18" s="14">
        <v>8140395</v>
      </c>
      <c r="I18" s="14">
        <v>9131845</v>
      </c>
      <c r="J18" s="14">
        <v>10412231</v>
      </c>
      <c r="K18" s="14">
        <v>10948820</v>
      </c>
      <c r="L18" s="14">
        <v>11902941</v>
      </c>
      <c r="M18" s="46">
        <v>12946861</v>
      </c>
      <c r="N18" s="46">
        <f t="shared" ref="N18:S18" si="18">SUM(N12:N17)</f>
        <v>13335266.83</v>
      </c>
      <c r="O18" s="46">
        <f t="shared" si="18"/>
        <v>13735324.834900001</v>
      </c>
      <c r="P18" s="63">
        <f t="shared" si="18"/>
        <v>14147384.579947</v>
      </c>
      <c r="Q18" s="63">
        <f t="shared" si="18"/>
        <v>14571806.117345411</v>
      </c>
      <c r="R18" s="63">
        <f t="shared" si="18"/>
        <v>15008960.300865775</v>
      </c>
      <c r="S18" s="63">
        <f t="shared" si="18"/>
        <v>15234094.70537876</v>
      </c>
      <c r="T18" t="s">
        <v>63</v>
      </c>
      <c r="V18" s="16">
        <f>IS!C27</f>
        <v>901207.8</v>
      </c>
      <c r="W18" s="16">
        <f>IS!D27</f>
        <v>601293.80000000005</v>
      </c>
      <c r="X18" s="16">
        <f>IS!E27</f>
        <v>789140.3</v>
      </c>
      <c r="Y18" s="16">
        <f>IS!F27</f>
        <v>863119.45</v>
      </c>
      <c r="Z18" s="16">
        <f>IS!G27</f>
        <v>1339797.3700000001</v>
      </c>
      <c r="AA18" s="16">
        <f>IS!H27</f>
        <v>1316734.72</v>
      </c>
      <c r="AB18" s="16">
        <f>IS!I27</f>
        <v>1502696.79</v>
      </c>
      <c r="AC18" s="16">
        <f>IS!J27</f>
        <v>1677552.42</v>
      </c>
      <c r="AD18" s="16">
        <f>IS!K27</f>
        <v>1916352.6400000001</v>
      </c>
      <c r="AE18" s="16">
        <f>IS!L27</f>
        <v>2169099.37</v>
      </c>
      <c r="AF18" s="16">
        <f>SAISUpper!M27</f>
        <v>2556432.84</v>
      </c>
      <c r="AG18" s="16">
        <f>SAISUpper!N27</f>
        <v>2633125.8251999998</v>
      </c>
      <c r="AH18" s="16">
        <f>SAISUpper!O27</f>
        <v>2712119.5999559993</v>
      </c>
      <c r="AI18" s="16">
        <f>SAISUpper!P27</f>
        <v>2793483.1879546796</v>
      </c>
      <c r="AJ18" s="16">
        <f>SAISUpper!Q27</f>
        <v>2877287.6835933202</v>
      </c>
      <c r="AK18" s="16">
        <f>SAISUpper!R27</f>
        <v>2963606.3141011191</v>
      </c>
      <c r="AL18" s="16">
        <f>SAISUpper!S27</f>
        <v>3008060.4088126365</v>
      </c>
    </row>
    <row r="19" spans="1:44" ht="14.4" x14ac:dyDescent="0.3">
      <c r="A19" s="25" t="s">
        <v>27</v>
      </c>
      <c r="B19" s="26"/>
      <c r="C19" s="27">
        <v>482017</v>
      </c>
      <c r="D19" s="27">
        <v>474266</v>
      </c>
      <c r="E19" s="27">
        <v>522536</v>
      </c>
      <c r="F19" s="27">
        <v>523229</v>
      </c>
      <c r="G19" s="27">
        <v>502314</v>
      </c>
      <c r="H19" s="27">
        <v>550828</v>
      </c>
      <c r="I19" s="27">
        <v>580058</v>
      </c>
      <c r="J19" s="27">
        <v>692338</v>
      </c>
      <c r="K19" s="27">
        <v>970558</v>
      </c>
      <c r="L19" s="27">
        <v>1086183</v>
      </c>
      <c r="M19" s="48">
        <v>1159177</v>
      </c>
      <c r="N19" s="48">
        <f>M53*$N$2</f>
        <v>1193952.31</v>
      </c>
      <c r="O19" s="60">
        <f>M53*$O$2</f>
        <v>1229770.8793000001</v>
      </c>
      <c r="P19" s="60">
        <f>M53*$P$2</f>
        <v>1266664.0056790002</v>
      </c>
      <c r="Q19" s="60">
        <f t="shared" si="5"/>
        <v>1304663.9258493702</v>
      </c>
      <c r="R19" s="60">
        <f t="shared" si="6"/>
        <v>1343803.8436248512</v>
      </c>
      <c r="S19" s="60">
        <f t="shared" si="11"/>
        <v>1363960.9012792241</v>
      </c>
      <c r="T19" t="s">
        <v>73</v>
      </c>
      <c r="V19" s="16"/>
      <c r="W19" s="16">
        <f t="shared" ref="W19:AJ19" si="19">(C37+D37)/2</f>
        <v>1283496</v>
      </c>
      <c r="X19" s="16">
        <f t="shared" si="19"/>
        <v>937574.5</v>
      </c>
      <c r="Y19" s="16">
        <f t="shared" si="19"/>
        <v>879626</v>
      </c>
      <c r="Z19" s="16">
        <f t="shared" si="19"/>
        <v>1169415.5</v>
      </c>
      <c r="AA19" s="16">
        <f t="shared" si="19"/>
        <v>1576130</v>
      </c>
      <c r="AB19" s="16">
        <f t="shared" si="19"/>
        <v>1991438.5</v>
      </c>
      <c r="AC19" s="16">
        <f t="shared" si="19"/>
        <v>2497556</v>
      </c>
      <c r="AD19" s="16">
        <f t="shared" si="19"/>
        <v>3028386.5</v>
      </c>
      <c r="AE19" s="16">
        <f t="shared" si="19"/>
        <v>3699315</v>
      </c>
      <c r="AF19" s="16">
        <f t="shared" si="19"/>
        <v>4406870</v>
      </c>
      <c r="AG19" s="70">
        <f t="shared" si="19"/>
        <v>4785373.8099999996</v>
      </c>
      <c r="AH19" s="70">
        <f t="shared" si="19"/>
        <v>4928935.0242999997</v>
      </c>
      <c r="AI19" s="70">
        <f t="shared" si="19"/>
        <v>5076803.0750290006</v>
      </c>
      <c r="AJ19" s="70">
        <f t="shared" si="19"/>
        <v>5229107.1672798702</v>
      </c>
      <c r="AK19" s="70">
        <f>(Q37+R37)/2</f>
        <v>5385980.3822982674</v>
      </c>
      <c r="AL19" s="70">
        <f>(R37+S37)/2</f>
        <v>5506567.9726310046</v>
      </c>
      <c r="AO19" s="111" t="s">
        <v>107</v>
      </c>
      <c r="AP19" s="111"/>
      <c r="AQ19" s="111"/>
      <c r="AR19" s="111"/>
    </row>
    <row r="20" spans="1:44" ht="14.4" x14ac:dyDescent="0.3">
      <c r="A20" s="25" t="s">
        <v>28</v>
      </c>
      <c r="B20" s="26"/>
      <c r="C20" s="27">
        <v>813513</v>
      </c>
      <c r="D20" s="27">
        <v>856967</v>
      </c>
      <c r="E20" s="27">
        <v>750986</v>
      </c>
      <c r="F20" s="27">
        <v>676134</v>
      </c>
      <c r="G20" s="27">
        <v>679163</v>
      </c>
      <c r="H20" s="27">
        <v>702372</v>
      </c>
      <c r="I20" s="27">
        <v>781766</v>
      </c>
      <c r="J20" s="27">
        <v>855638</v>
      </c>
      <c r="K20" s="27">
        <v>832518</v>
      </c>
      <c r="L20" s="27">
        <v>867815</v>
      </c>
      <c r="M20" s="48">
        <v>807341</v>
      </c>
      <c r="N20" s="48">
        <f t="shared" ref="N20:N27" si="20">M54*$N$2</f>
        <v>831561.2300000001</v>
      </c>
      <c r="O20" s="60">
        <f>M54*$O$2</f>
        <v>856508.06690000009</v>
      </c>
      <c r="P20" s="60">
        <f>M54*$P$2</f>
        <v>882203.308907</v>
      </c>
      <c r="Q20" s="60">
        <f t="shared" si="5"/>
        <v>908669.40817421011</v>
      </c>
      <c r="R20" s="60">
        <f t="shared" si="6"/>
        <v>935929.49041943636</v>
      </c>
      <c r="S20" s="60">
        <f t="shared" si="11"/>
        <v>949968.43277572794</v>
      </c>
      <c r="T20" s="16" t="s">
        <v>74</v>
      </c>
      <c r="U20" s="16"/>
      <c r="V20" s="16">
        <f>IS!C20</f>
        <v>846912</v>
      </c>
      <c r="W20" s="16">
        <f>IS!D20</f>
        <v>512951</v>
      </c>
      <c r="X20" s="16">
        <f>IS!E20</f>
        <v>720044</v>
      </c>
      <c r="Y20" s="16">
        <f>IS!F20</f>
        <v>782981</v>
      </c>
      <c r="Z20" s="16">
        <f>IS!G20</f>
        <v>1177562</v>
      </c>
      <c r="AA20" s="16">
        <f>IS!H20</f>
        <v>1149692</v>
      </c>
      <c r="AB20" s="16">
        <f>IS!I20</f>
        <v>1278708</v>
      </c>
      <c r="AC20" s="16">
        <f>IS!J20</f>
        <v>1477512</v>
      </c>
      <c r="AD20" s="16">
        <f>IS!K20</f>
        <v>1644817</v>
      </c>
      <c r="AE20" s="16">
        <f>IS!L20</f>
        <v>1861787</v>
      </c>
      <c r="AF20" s="16">
        <f>SAISUpper!M20</f>
        <v>2221239</v>
      </c>
      <c r="AG20" s="16">
        <f>SAISUpper!N20</f>
        <v>2287876.17</v>
      </c>
      <c r="AH20" s="16">
        <f>SAISUpper!O20</f>
        <v>2356512.4550999994</v>
      </c>
      <c r="AI20" s="16">
        <f>SAISUpper!P20</f>
        <v>2427207.8287529997</v>
      </c>
      <c r="AJ20" s="16">
        <f>SAISUpper!Q20</f>
        <v>2500024.0636155894</v>
      </c>
      <c r="AK20" s="16">
        <f>SAISUpper!R20</f>
        <v>2575024.7855240568</v>
      </c>
      <c r="AL20" s="16">
        <f>SAISUpper!S20</f>
        <v>2613650.1573069189</v>
      </c>
      <c r="AP20" s="82" t="s">
        <v>108</v>
      </c>
      <c r="AQ20" s="82" t="s">
        <v>109</v>
      </c>
      <c r="AR20" s="82" t="s">
        <v>110</v>
      </c>
    </row>
    <row r="21" spans="1:44" ht="14.4" x14ac:dyDescent="0.3">
      <c r="A21" s="25" t="s">
        <v>29</v>
      </c>
      <c r="B21" s="26"/>
      <c r="C21" s="27">
        <v>4616</v>
      </c>
      <c r="D21" s="27">
        <v>23243</v>
      </c>
      <c r="E21" s="27">
        <v>3207</v>
      </c>
      <c r="F21" s="27">
        <v>17723</v>
      </c>
      <c r="G21" s="27">
        <v>33773</v>
      </c>
      <c r="H21" s="27">
        <v>19921</v>
      </c>
      <c r="I21" s="27">
        <v>17051</v>
      </c>
      <c r="J21" s="27">
        <v>3070</v>
      </c>
      <c r="K21" s="27">
        <v>6710</v>
      </c>
      <c r="L21" s="27">
        <v>29457</v>
      </c>
      <c r="M21" s="48">
        <v>51036</v>
      </c>
      <c r="N21" s="48">
        <f t="shared" si="20"/>
        <v>52567.08</v>
      </c>
      <c r="O21" s="60">
        <f>M55*$O$2</f>
        <v>54144.092400000001</v>
      </c>
      <c r="P21" s="60">
        <f>M55*$P$2</f>
        <v>55768.415172000001</v>
      </c>
      <c r="Q21" s="60">
        <f t="shared" si="5"/>
        <v>57441.467627160011</v>
      </c>
      <c r="R21" s="60">
        <f t="shared" si="6"/>
        <v>59164.71165597481</v>
      </c>
      <c r="S21" s="60">
        <f t="shared" si="11"/>
        <v>60052.182330814423</v>
      </c>
      <c r="AG21" s="68"/>
      <c r="AH21" s="68"/>
      <c r="AI21" s="68"/>
      <c r="AJ21" s="68"/>
      <c r="AK21" s="68"/>
      <c r="AL21" s="68"/>
      <c r="AO21" s="83" t="s">
        <v>111</v>
      </c>
      <c r="AP21" s="85">
        <v>0.02</v>
      </c>
      <c r="AQ21" s="85">
        <v>0.01</v>
      </c>
      <c r="AR21" s="85">
        <v>0.03</v>
      </c>
    </row>
    <row r="22" spans="1:44" ht="14.4" x14ac:dyDescent="0.3">
      <c r="A22" s="29" t="s">
        <v>30</v>
      </c>
      <c r="B22" s="32"/>
      <c r="C22" s="31">
        <v>384696</v>
      </c>
      <c r="D22" s="31">
        <v>363513</v>
      </c>
      <c r="E22" s="31">
        <v>632471</v>
      </c>
      <c r="F22" s="31">
        <v>559359</v>
      </c>
      <c r="G22" s="31">
        <v>1197929</v>
      </c>
      <c r="H22" s="31">
        <v>32282</v>
      </c>
      <c r="I22" s="31">
        <v>74041</v>
      </c>
      <c r="J22" s="31">
        <v>939423</v>
      </c>
      <c r="K22" s="31">
        <v>693790</v>
      </c>
      <c r="L22" s="31">
        <v>719839</v>
      </c>
      <c r="M22" s="49">
        <v>1306976</v>
      </c>
      <c r="N22" s="49">
        <f t="shared" si="20"/>
        <v>1346185.28</v>
      </c>
      <c r="O22" s="31">
        <f t="shared" ref="O22" si="21">M56*$O$2</f>
        <v>1386570.8384</v>
      </c>
      <c r="P22" s="31">
        <f>M56*$P$2</f>
        <v>1428167.963552</v>
      </c>
      <c r="Q22" s="31">
        <f t="shared" si="5"/>
        <v>1471013.00245856</v>
      </c>
      <c r="R22" s="31">
        <f t="shared" si="6"/>
        <v>1515143.392532317</v>
      </c>
      <c r="S22" s="31">
        <f t="shared" si="11"/>
        <v>1537870.5434203015</v>
      </c>
      <c r="Z22" s="18"/>
      <c r="AG22" s="68"/>
      <c r="AH22" s="68"/>
      <c r="AI22" s="68"/>
      <c r="AJ22" s="68"/>
      <c r="AK22" s="68"/>
      <c r="AL22" s="68"/>
      <c r="AO22" s="83" t="s">
        <v>112</v>
      </c>
      <c r="AP22" s="85">
        <v>5.6099999999999997E-2</v>
      </c>
      <c r="AQ22" s="85">
        <v>4.6100000000000002E-2</v>
      </c>
      <c r="AR22" s="85">
        <v>6.6100000000000006E-2</v>
      </c>
    </row>
    <row r="23" spans="1:44" ht="14.4" x14ac:dyDescent="0.3">
      <c r="A23" s="29" t="s">
        <v>31</v>
      </c>
      <c r="B23" s="32"/>
      <c r="C23" s="31">
        <v>250805</v>
      </c>
      <c r="D23" s="31">
        <v>499923</v>
      </c>
      <c r="E23" s="31">
        <v>243</v>
      </c>
      <c r="F23" s="31">
        <v>300098</v>
      </c>
      <c r="G23" s="31">
        <v>5387</v>
      </c>
      <c r="H23" s="31">
        <v>703390</v>
      </c>
      <c r="I23" s="31">
        <v>438829</v>
      </c>
      <c r="J23" s="31">
        <v>2844</v>
      </c>
      <c r="K23" s="31">
        <v>753578</v>
      </c>
      <c r="L23" s="31">
        <v>305058</v>
      </c>
      <c r="M23" s="49">
        <v>604965</v>
      </c>
      <c r="N23" s="49">
        <f t="shared" si="20"/>
        <v>623113.94999999995</v>
      </c>
      <c r="O23" s="31">
        <f>M57*$O$2</f>
        <v>641807.36849999998</v>
      </c>
      <c r="P23" s="31">
        <f>M57*$P$2</f>
        <v>661061.58955499995</v>
      </c>
      <c r="Q23" s="31">
        <f t="shared" si="5"/>
        <v>680893.43724165007</v>
      </c>
      <c r="R23" s="31">
        <f t="shared" si="6"/>
        <v>701320.24035889958</v>
      </c>
      <c r="S23" s="31">
        <f t="shared" si="11"/>
        <v>711840.04396428296</v>
      </c>
      <c r="T23" t="s">
        <v>75</v>
      </c>
      <c r="V23" s="18"/>
      <c r="W23" s="18">
        <f>W20/W19</f>
        <v>0.39965142080692112</v>
      </c>
      <c r="X23" s="18">
        <f>X20/X19</f>
        <v>0.76798590405349121</v>
      </c>
      <c r="Y23" s="18">
        <f>Y20/Y19</f>
        <v>0.8901294413762213</v>
      </c>
      <c r="Z23" s="18">
        <f>Z20/Z19</f>
        <v>1.006966300686112</v>
      </c>
      <c r="AA23" s="18">
        <f t="shared" ref="AA23:AC23" si="22">AA20/AA19</f>
        <v>0.72943983047083683</v>
      </c>
      <c r="AB23" s="18">
        <f t="shared" si="22"/>
        <v>0.64210268105191293</v>
      </c>
      <c r="AC23" s="18">
        <f t="shared" si="22"/>
        <v>0.59158313166952015</v>
      </c>
      <c r="AD23" s="18">
        <f>AD20/AD19</f>
        <v>0.54313311725567393</v>
      </c>
      <c r="AE23" s="18">
        <f>AE20/AE19</f>
        <v>0.50327885027363173</v>
      </c>
      <c r="AF23" s="18">
        <f>AF20/AF19</f>
        <v>0.50404005564039789</v>
      </c>
      <c r="AG23" s="73">
        <f t="shared" ref="AG23:AL23" si="23">AG20/AG19</f>
        <v>0.47809769118120371</v>
      </c>
      <c r="AH23" s="73">
        <f t="shared" si="23"/>
        <v>0.4780976911812036</v>
      </c>
      <c r="AI23" s="73">
        <f t="shared" si="23"/>
        <v>0.47809769118120354</v>
      </c>
      <c r="AJ23" s="73">
        <f t="shared" si="23"/>
        <v>0.47809769118120354</v>
      </c>
      <c r="AK23" s="73">
        <f t="shared" si="23"/>
        <v>0.47809769118120338</v>
      </c>
      <c r="AL23" s="73">
        <f t="shared" si="23"/>
        <v>0.47464231265234574</v>
      </c>
      <c r="AO23" s="83" t="s">
        <v>113</v>
      </c>
      <c r="AP23" s="85">
        <v>0.01</v>
      </c>
      <c r="AQ23" s="85">
        <v>5.0000000000000001E-3</v>
      </c>
      <c r="AR23" s="85">
        <v>1.4999999999999999E-2</v>
      </c>
    </row>
    <row r="24" spans="1:44" x14ac:dyDescent="0.25">
      <c r="A24" s="11" t="s">
        <v>32</v>
      </c>
      <c r="B24" s="12"/>
      <c r="C24" s="14">
        <v>1935647</v>
      </c>
      <c r="D24" s="14">
        <v>2217912</v>
      </c>
      <c r="E24" s="14">
        <v>1909443</v>
      </c>
      <c r="F24" s="14">
        <v>2076543</v>
      </c>
      <c r="G24" s="14">
        <v>2418566</v>
      </c>
      <c r="H24" s="14">
        <v>2008793</v>
      </c>
      <c r="I24" s="14">
        <v>1891745</v>
      </c>
      <c r="J24" s="14">
        <v>2493313</v>
      </c>
      <c r="K24" s="14">
        <v>3257154</v>
      </c>
      <c r="L24" s="14">
        <v>3008352</v>
      </c>
      <c r="M24" s="46">
        <v>3929495</v>
      </c>
      <c r="N24" s="61">
        <f t="shared" ref="N24:S24" si="24">SUM(N19:N23)</f>
        <v>4047379.8500000006</v>
      </c>
      <c r="O24" s="46">
        <f t="shared" si="24"/>
        <v>4168801.2455000002</v>
      </c>
      <c r="P24" s="46">
        <f t="shared" si="24"/>
        <v>4293865.282865</v>
      </c>
      <c r="Q24" s="46">
        <f t="shared" si="24"/>
        <v>4422681.2413509507</v>
      </c>
      <c r="R24" s="46">
        <f t="shared" si="24"/>
        <v>4555361.6785914786</v>
      </c>
      <c r="S24" s="46">
        <f t="shared" si="24"/>
        <v>4623692.103770351</v>
      </c>
      <c r="T24" s="69" t="s">
        <v>63</v>
      </c>
      <c r="V24" s="19">
        <f t="shared" ref="V24:AD24" si="25">V18</f>
        <v>901207.8</v>
      </c>
      <c r="W24" s="19">
        <f t="shared" si="25"/>
        <v>601293.80000000005</v>
      </c>
      <c r="X24" s="19">
        <f t="shared" si="25"/>
        <v>789140.3</v>
      </c>
      <c r="Y24" s="19">
        <f t="shared" si="25"/>
        <v>863119.45</v>
      </c>
      <c r="Z24" s="19">
        <f t="shared" si="25"/>
        <v>1339797.3700000001</v>
      </c>
      <c r="AA24" s="19">
        <f t="shared" si="25"/>
        <v>1316734.72</v>
      </c>
      <c r="AB24" s="19">
        <f t="shared" si="25"/>
        <v>1502696.79</v>
      </c>
      <c r="AC24" s="19">
        <f t="shared" si="25"/>
        <v>1677552.42</v>
      </c>
      <c r="AD24" s="19">
        <f t="shared" si="25"/>
        <v>1916352.6400000001</v>
      </c>
      <c r="AE24" s="19">
        <f>AE18</f>
        <v>2169099.37</v>
      </c>
      <c r="AF24" s="19">
        <f>AF18</f>
        <v>2556432.84</v>
      </c>
      <c r="AG24" s="74">
        <f t="shared" ref="AG24:AL24" si="26">AG18</f>
        <v>2633125.8251999998</v>
      </c>
      <c r="AH24" s="74">
        <f t="shared" si="26"/>
        <v>2712119.5999559993</v>
      </c>
      <c r="AI24" s="74">
        <f t="shared" si="26"/>
        <v>2793483.1879546796</v>
      </c>
      <c r="AJ24" s="74">
        <f t="shared" si="26"/>
        <v>2877287.6835933202</v>
      </c>
      <c r="AK24" s="74">
        <f t="shared" si="26"/>
        <v>2963606.3141011191</v>
      </c>
      <c r="AL24" s="74">
        <f t="shared" si="26"/>
        <v>3008060.4088126365</v>
      </c>
    </row>
    <row r="25" spans="1:44" x14ac:dyDescent="0.25">
      <c r="A25" s="29" t="s">
        <v>33</v>
      </c>
      <c r="B25" s="32"/>
      <c r="C25" s="31">
        <v>1548963</v>
      </c>
      <c r="D25" s="31">
        <v>1557091</v>
      </c>
      <c r="E25" s="31">
        <v>2347455</v>
      </c>
      <c r="F25" s="31">
        <v>2061023</v>
      </c>
      <c r="G25" s="31">
        <v>3254280</v>
      </c>
      <c r="H25" s="31">
        <v>3530813</v>
      </c>
      <c r="I25" s="31">
        <v>4089755</v>
      </c>
      <c r="J25" s="31">
        <v>4086627</v>
      </c>
      <c r="K25" s="31">
        <v>3343977</v>
      </c>
      <c r="L25" s="31">
        <v>3789132</v>
      </c>
      <c r="M25" s="49">
        <v>3190210</v>
      </c>
      <c r="N25" s="49">
        <f t="shared" si="20"/>
        <v>3285916.3000000003</v>
      </c>
      <c r="O25" s="31">
        <f>M59*$O$2</f>
        <v>3384493.7889999999</v>
      </c>
      <c r="P25" s="31">
        <f>M59*$P$2</f>
        <v>3486028.6026699999</v>
      </c>
      <c r="Q25" s="31">
        <f t="shared" si="5"/>
        <v>3590609.4607501002</v>
      </c>
      <c r="R25" s="31">
        <f t="shared" si="6"/>
        <v>3698327.7445726031</v>
      </c>
      <c r="S25" s="31">
        <f t="shared" si="11"/>
        <v>3753802.6607411923</v>
      </c>
      <c r="T25" s="69" t="s">
        <v>66</v>
      </c>
      <c r="V25" s="16">
        <f>V9</f>
        <v>3131494</v>
      </c>
      <c r="W25" s="16">
        <f>W9</f>
        <v>3121460</v>
      </c>
      <c r="X25" s="16">
        <f>X9</f>
        <v>3510889</v>
      </c>
      <c r="Y25" s="16">
        <f>Y9</f>
        <v>3471866</v>
      </c>
      <c r="Z25" s="16">
        <f t="shared" ref="Z25:AD25" si="27">Z9</f>
        <v>5276864</v>
      </c>
      <c r="AA25" s="16">
        <f t="shared" si="27"/>
        <v>5518217</v>
      </c>
      <c r="AB25" s="16">
        <f t="shared" si="27"/>
        <v>5696521</v>
      </c>
      <c r="AC25" s="16">
        <f t="shared" si="27"/>
        <v>7456857</v>
      </c>
      <c r="AD25" s="16">
        <f t="shared" si="27"/>
        <v>7627000</v>
      </c>
      <c r="AE25" s="16">
        <f>AE9</f>
        <v>8511213</v>
      </c>
      <c r="AF25" s="16">
        <f>AF9</f>
        <v>9086059</v>
      </c>
      <c r="AG25" s="70">
        <f t="shared" ref="AG25:AL25" si="28">AG9</f>
        <v>9358640.7699999996</v>
      </c>
      <c r="AH25" s="70">
        <f t="shared" si="28"/>
        <v>9639399.9931000024</v>
      </c>
      <c r="AI25" s="70">
        <f t="shared" si="28"/>
        <v>9928581.9928930011</v>
      </c>
      <c r="AJ25" s="70">
        <f t="shared" si="28"/>
        <v>10226439.452679792</v>
      </c>
      <c r="AK25" s="70">
        <f t="shared" si="28"/>
        <v>10533232.636260185</v>
      </c>
      <c r="AL25" s="70">
        <f t="shared" si="28"/>
        <v>10691231.125804085</v>
      </c>
    </row>
    <row r="26" spans="1:44" x14ac:dyDescent="0.25">
      <c r="A26" s="25" t="s">
        <v>34</v>
      </c>
      <c r="B26" s="26">
        <f>SABSUpper!D2</f>
        <v>0</v>
      </c>
      <c r="C26" s="27">
        <v>526003</v>
      </c>
      <c r="D26" s="27">
        <v>468718</v>
      </c>
      <c r="E26" s="27">
        <v>400161</v>
      </c>
      <c r="F26" s="27">
        <v>438939</v>
      </c>
      <c r="G26" s="27">
        <v>446048</v>
      </c>
      <c r="H26" s="27">
        <v>655777</v>
      </c>
      <c r="I26" s="27">
        <v>683434</v>
      </c>
      <c r="J26" s="27">
        <v>787058</v>
      </c>
      <c r="K26" s="27">
        <v>719742</v>
      </c>
      <c r="L26" s="27">
        <v>660673</v>
      </c>
      <c r="M26" s="47">
        <v>688259</v>
      </c>
      <c r="N26" s="48">
        <f t="shared" si="20"/>
        <v>708906.77</v>
      </c>
      <c r="O26" s="60">
        <f>M60*$O$2</f>
        <v>730173.97309999994</v>
      </c>
      <c r="P26" s="60">
        <f>M60*$P$2</f>
        <v>752079.19229299994</v>
      </c>
      <c r="Q26" s="60">
        <f t="shared" si="5"/>
        <v>774641.56806179008</v>
      </c>
      <c r="R26" s="60">
        <f t="shared" si="6"/>
        <v>797880.81510364381</v>
      </c>
      <c r="S26" s="60">
        <f t="shared" si="11"/>
        <v>809849.02733019833</v>
      </c>
      <c r="T26" t="s">
        <v>70</v>
      </c>
      <c r="V26" s="16">
        <f>V14</f>
        <v>1712479</v>
      </c>
      <c r="W26" s="16">
        <f>W14</f>
        <v>2073998</v>
      </c>
      <c r="X26" s="16">
        <f>X14</f>
        <v>2683202</v>
      </c>
      <c r="Y26" s="16">
        <f>Y14</f>
        <v>2540301</v>
      </c>
      <c r="Z26" s="16">
        <f t="shared" ref="Z26:AD26" si="29">Z14</f>
        <v>3869598</v>
      </c>
      <c r="AA26" s="16">
        <f t="shared" si="29"/>
        <v>3773223</v>
      </c>
      <c r="AB26" s="16">
        <f t="shared" si="29"/>
        <v>3458638</v>
      </c>
      <c r="AC26" s="16">
        <f t="shared" si="29"/>
        <v>4699628</v>
      </c>
      <c r="AD26" s="16">
        <f t="shared" si="29"/>
        <v>4327456</v>
      </c>
      <c r="AE26" s="16">
        <f>AE14</f>
        <v>4412127</v>
      </c>
      <c r="AF26" s="16">
        <f>AF14</f>
        <v>4371405</v>
      </c>
      <c r="AG26" s="70">
        <f t="shared" ref="AG26:AL26" si="30">AG14</f>
        <v>4502547.1500000004</v>
      </c>
      <c r="AH26" s="70">
        <f t="shared" si="30"/>
        <v>4637623.5644999994</v>
      </c>
      <c r="AI26" s="70">
        <f t="shared" si="30"/>
        <v>4776752.271435</v>
      </c>
      <c r="AJ26" s="70">
        <f t="shared" si="30"/>
        <v>4920054.8395780493</v>
      </c>
      <c r="AK26" s="70">
        <f t="shared" si="30"/>
        <v>5067656.4847653918</v>
      </c>
      <c r="AL26" s="70">
        <f t="shared" si="30"/>
        <v>5143671.3320368724</v>
      </c>
    </row>
    <row r="27" spans="1:44" x14ac:dyDescent="0.25">
      <c r="A27" s="25" t="s">
        <v>19</v>
      </c>
      <c r="B27" s="26"/>
      <c r="C27" s="27">
        <v>99373</v>
      </c>
      <c r="D27" s="27">
        <v>53188</v>
      </c>
      <c r="E27" s="27">
        <v>39587</v>
      </c>
      <c r="F27" s="27">
        <v>45656</v>
      </c>
      <c r="G27" s="27">
        <v>176860</v>
      </c>
      <c r="H27" s="27">
        <v>200018</v>
      </c>
      <c r="I27" s="27">
        <v>229028</v>
      </c>
      <c r="J27" s="27">
        <v>288004</v>
      </c>
      <c r="K27" s="27">
        <v>328403</v>
      </c>
      <c r="L27" s="27">
        <v>345698</v>
      </c>
      <c r="M27" s="48">
        <v>424243</v>
      </c>
      <c r="N27" s="48">
        <f t="shared" si="20"/>
        <v>436970.29000000004</v>
      </c>
      <c r="O27" s="60">
        <f>M61*$O$2</f>
        <v>450079.39870000002</v>
      </c>
      <c r="P27" s="60">
        <f>M61*$P$2</f>
        <v>463581.780661</v>
      </c>
      <c r="Q27" s="60">
        <f t="shared" si="5"/>
        <v>477489.23408083007</v>
      </c>
      <c r="R27" s="60">
        <f t="shared" si="6"/>
        <v>491813.91110325494</v>
      </c>
      <c r="S27" s="60">
        <f t="shared" si="11"/>
        <v>499191.11976980377</v>
      </c>
      <c r="T27" t="s">
        <v>76</v>
      </c>
      <c r="V27" s="18"/>
      <c r="W27" s="18">
        <f>W24/W10</f>
        <v>0.19232311640226366</v>
      </c>
      <c r="X27" s="18">
        <f>X24/X10</f>
        <v>0.2379670611422891</v>
      </c>
      <c r="Y27" s="18">
        <f>Y24/Y10</f>
        <v>0.24721458793842829</v>
      </c>
      <c r="Z27" s="18">
        <f t="shared" ref="Z27:AD27" si="31">Z24/Z10</f>
        <v>0.30628385377077588</v>
      </c>
      <c r="AA27" s="18">
        <f t="shared" si="31"/>
        <v>0.24395087355064773</v>
      </c>
      <c r="AB27" s="18">
        <f t="shared" si="31"/>
        <v>0.26798607154264326</v>
      </c>
      <c r="AC27" s="18">
        <f t="shared" si="31"/>
        <v>0.2550755281266911</v>
      </c>
      <c r="AD27" s="18">
        <f t="shared" si="31"/>
        <v>0.25409318584762508</v>
      </c>
      <c r="AE27" s="18">
        <f>AE24/AE10</f>
        <v>0.268815310592319</v>
      </c>
      <c r="AF27" s="18">
        <f>AF24/AF10</f>
        <v>0.29054876687704773</v>
      </c>
      <c r="AG27" s="73">
        <f t="shared" ref="AG27:AL27" si="32">AG24/AG10</f>
        <v>0.28551571541248244</v>
      </c>
      <c r="AH27" s="73">
        <f t="shared" si="32"/>
        <v>0.28551571541248233</v>
      </c>
      <c r="AI27" s="73">
        <f t="shared" si="32"/>
        <v>0.28551571541248233</v>
      </c>
      <c r="AJ27" s="73">
        <f t="shared" si="32"/>
        <v>0.28551571541248233</v>
      </c>
      <c r="AK27" s="73">
        <f t="shared" si="32"/>
        <v>0.28551571541248227</v>
      </c>
      <c r="AL27" s="73">
        <f t="shared" si="32"/>
        <v>0.2834521938960945</v>
      </c>
    </row>
    <row r="28" spans="1:44" x14ac:dyDescent="0.25">
      <c r="A28" s="11" t="s">
        <v>35</v>
      </c>
      <c r="B28" s="12"/>
      <c r="C28" s="14">
        <v>4109986</v>
      </c>
      <c r="D28" s="14">
        <v>4296909</v>
      </c>
      <c r="E28" s="14">
        <v>4696646</v>
      </c>
      <c r="F28" s="14">
        <v>4622161</v>
      </c>
      <c r="G28" s="14">
        <v>6295754</v>
      </c>
      <c r="H28" s="14">
        <v>6395401</v>
      </c>
      <c r="I28" s="14">
        <v>6893962</v>
      </c>
      <c r="J28" s="14">
        <v>7655002</v>
      </c>
      <c r="K28" s="14">
        <v>7649276</v>
      </c>
      <c r="L28" s="14">
        <v>7803855</v>
      </c>
      <c r="M28" s="45">
        <v>8232207</v>
      </c>
      <c r="N28" s="45">
        <f t="shared" ref="N28:S28" si="33">SUM(N24:N27)</f>
        <v>8479173.2100000009</v>
      </c>
      <c r="O28" s="45">
        <f t="shared" si="33"/>
        <v>8733548.4063000008</v>
      </c>
      <c r="P28" s="45">
        <f t="shared" si="33"/>
        <v>8995554.8584889993</v>
      </c>
      <c r="Q28" s="45">
        <f t="shared" si="33"/>
        <v>9265421.5042436719</v>
      </c>
      <c r="R28" s="45">
        <f t="shared" si="33"/>
        <v>9543384.1493709795</v>
      </c>
      <c r="S28" s="45">
        <f t="shared" si="33"/>
        <v>9686534.9116115458</v>
      </c>
      <c r="T28" s="69" t="s">
        <v>77</v>
      </c>
      <c r="V28" s="18">
        <f>V24/V17</f>
        <v>0.12142764365579739</v>
      </c>
      <c r="W28" s="18">
        <f>W24/W17</f>
        <v>8.1403038410229528E-2</v>
      </c>
      <c r="X28" s="18">
        <f>X24/X17</f>
        <v>0.10606466428706507</v>
      </c>
      <c r="Y28" s="18">
        <f>Y24/Y17</f>
        <v>0.11484637730449344</v>
      </c>
      <c r="Z28" s="18">
        <f t="shared" ref="Z28:AD28" si="34">Z24/Z17</f>
        <v>0.1719657944243595</v>
      </c>
      <c r="AA28" s="18">
        <f t="shared" si="34"/>
        <v>0.16487517799338161</v>
      </c>
      <c r="AB28" s="18">
        <f t="shared" si="34"/>
        <v>0.1843863316023534</v>
      </c>
      <c r="AC28" s="18">
        <f t="shared" si="34"/>
        <v>0.18699023568059031</v>
      </c>
      <c r="AD28" s="18">
        <f t="shared" si="34"/>
        <v>0.18392346352833505</v>
      </c>
      <c r="AE28" s="18">
        <f>AE24/AE17</f>
        <v>0.19427684050288618</v>
      </c>
      <c r="AF28" s="18">
        <f>AF24/AF17</f>
        <v>0.22820682213941951</v>
      </c>
      <c r="AG28" s="73">
        <f t="shared" ref="AG28:AJ28" si="35">AG24/AG17</f>
        <v>0.22820682213941948</v>
      </c>
      <c r="AH28" s="73">
        <f t="shared" si="35"/>
        <v>0.22820682213941945</v>
      </c>
      <c r="AI28" s="73">
        <f t="shared" si="35"/>
        <v>0.22820682213941948</v>
      </c>
      <c r="AJ28" s="73">
        <f t="shared" si="35"/>
        <v>0.22820682213941948</v>
      </c>
      <c r="AK28" s="73">
        <f>AK24/AK17</f>
        <v>0.2282068221394194</v>
      </c>
      <c r="AL28" s="73">
        <f>AL24/AL17</f>
        <v>0.22820682213941948</v>
      </c>
    </row>
    <row r="29" spans="1:44" x14ac:dyDescent="0.25">
      <c r="A29" s="29" t="s">
        <v>36</v>
      </c>
      <c r="B29" s="32"/>
      <c r="C29" s="31">
        <v>299281</v>
      </c>
      <c r="D29" s="31">
        <v>299281</v>
      </c>
      <c r="E29" s="31">
        <v>299281</v>
      </c>
      <c r="F29" s="31">
        <v>299281</v>
      </c>
      <c r="G29" s="31">
        <v>299287</v>
      </c>
      <c r="H29" s="31">
        <v>160939</v>
      </c>
      <c r="I29" s="31">
        <v>160939</v>
      </c>
      <c r="J29" s="31">
        <v>160939</v>
      </c>
      <c r="K29" s="31">
        <v>163439</v>
      </c>
      <c r="L29" s="31">
        <v>166939</v>
      </c>
      <c r="M29" s="50" t="s">
        <v>85</v>
      </c>
      <c r="N29" s="50" t="s">
        <v>85</v>
      </c>
      <c r="O29" s="50" t="s">
        <v>85</v>
      </c>
      <c r="P29" s="50" t="s">
        <v>85</v>
      </c>
      <c r="Q29" s="50" t="s">
        <v>85</v>
      </c>
      <c r="R29" s="50" t="s">
        <v>85</v>
      </c>
      <c r="S29" s="31">
        <f t="shared" si="11"/>
        <v>0</v>
      </c>
      <c r="T29" s="69" t="s">
        <v>78</v>
      </c>
      <c r="U29" s="16"/>
      <c r="W29" s="24">
        <f>W17/W10</f>
        <v>2.3626036590066071</v>
      </c>
      <c r="X29" s="24">
        <f>X17/X10</f>
        <v>2.2436035859994701</v>
      </c>
      <c r="Y29" s="24">
        <f>Y17/Y10</f>
        <v>2.1525675754054094</v>
      </c>
      <c r="Z29" s="24">
        <f t="shared" ref="Z29:AE29" si="36">Z17/Z10</f>
        <v>1.781074281638592</v>
      </c>
      <c r="AA29" s="24">
        <f t="shared" si="36"/>
        <v>1.4796094628655403</v>
      </c>
      <c r="AB29" s="24">
        <f t="shared" si="36"/>
        <v>1.4533944529065235</v>
      </c>
      <c r="AC29" s="24">
        <f t="shared" si="36"/>
        <v>1.3641114852777743</v>
      </c>
      <c r="AD29" s="24">
        <f t="shared" si="36"/>
        <v>1.3815158815149202</v>
      </c>
      <c r="AE29" s="24">
        <f t="shared" si="36"/>
        <v>1.383671413929163</v>
      </c>
      <c r="AF29" s="24">
        <f>AF17/AF10</f>
        <v>1.2731817749933059</v>
      </c>
      <c r="AG29" s="75">
        <f>AG17/AG10</f>
        <v>1.2511269940828103</v>
      </c>
      <c r="AH29" s="75">
        <f>AH17/AH10</f>
        <v>1.25112699408281</v>
      </c>
      <c r="AI29" s="75">
        <f>AI17/AI10</f>
        <v>1.2511269940828098</v>
      </c>
      <c r="AJ29" s="75">
        <f t="shared" ref="AJ29:AL29" si="37">AJ17/AJ10</f>
        <v>1.25112699408281</v>
      </c>
      <c r="AK29" s="75">
        <f t="shared" si="37"/>
        <v>1.25112699408281</v>
      </c>
      <c r="AL29" s="75">
        <f t="shared" si="37"/>
        <v>1.2420846635466651</v>
      </c>
    </row>
    <row r="30" spans="1:44" x14ac:dyDescent="0.25">
      <c r="A30" s="29" t="s">
        <v>37</v>
      </c>
      <c r="B30" s="32"/>
      <c r="C30" s="31">
        <v>60620</v>
      </c>
      <c r="D30" s="31">
        <v>60620</v>
      </c>
      <c r="E30" s="31">
        <v>60620</v>
      </c>
      <c r="F30" s="31">
        <v>60620</v>
      </c>
      <c r="G30" s="31">
        <v>60614</v>
      </c>
      <c r="H30" s="31">
        <v>60614</v>
      </c>
      <c r="I30" s="31">
        <v>60614</v>
      </c>
      <c r="J30" s="31">
        <v>60614</v>
      </c>
      <c r="K30" s="31">
        <v>58114</v>
      </c>
      <c r="L30" s="31">
        <v>54614</v>
      </c>
      <c r="M30" s="50" t="s">
        <v>86</v>
      </c>
      <c r="N30" s="50" t="s">
        <v>86</v>
      </c>
      <c r="O30" s="50" t="s">
        <v>86</v>
      </c>
      <c r="P30" s="50" t="s">
        <v>86</v>
      </c>
      <c r="Q30" s="50" t="s">
        <v>86</v>
      </c>
      <c r="R30" s="50" t="s">
        <v>86</v>
      </c>
      <c r="S30" s="31">
        <f t="shared" si="11"/>
        <v>0</v>
      </c>
      <c r="T30" t="s">
        <v>79</v>
      </c>
      <c r="V30" s="20"/>
      <c r="W30" s="20">
        <f>W15/W19</f>
        <v>1.4750638100936817</v>
      </c>
      <c r="X30" s="20">
        <f>X15/X19</f>
        <v>2.53697172864663</v>
      </c>
      <c r="Y30" s="20">
        <f>Y15/Y19</f>
        <v>2.969161325381469</v>
      </c>
      <c r="Z30" s="20">
        <f t="shared" ref="Z30:AD30" si="38">Z15/Z19</f>
        <v>2.7406422268218611</v>
      </c>
      <c r="AA30" s="20">
        <f t="shared" si="38"/>
        <v>2.4245528604873963</v>
      </c>
      <c r="AB30" s="20">
        <f t="shared" si="38"/>
        <v>1.815737970316432</v>
      </c>
      <c r="AC30" s="20">
        <f t="shared" si="38"/>
        <v>1.6332498650680907</v>
      </c>
      <c r="AD30" s="20">
        <f t="shared" si="38"/>
        <v>1.4904114781914395</v>
      </c>
      <c r="AE30" s="20">
        <f>AE15/AE19</f>
        <v>1.181243419389806</v>
      </c>
      <c r="AF30" s="20">
        <f>AF15/AF19</f>
        <v>0.99657262410735969</v>
      </c>
      <c r="AG30" s="76">
        <f>AG15/AG19</f>
        <v>0.92719529365251419</v>
      </c>
      <c r="AH30" s="76">
        <f>AH15/AH19</f>
        <v>0.92719529365251396</v>
      </c>
      <c r="AI30" s="76">
        <f t="shared" ref="AI30:AL30" si="39">AI15/AI19</f>
        <v>0.92719529365251396</v>
      </c>
      <c r="AJ30" s="76">
        <f t="shared" si="39"/>
        <v>0.92719529365251396</v>
      </c>
      <c r="AK30" s="76">
        <f t="shared" si="39"/>
        <v>0.92719529365251374</v>
      </c>
      <c r="AL30" s="76">
        <f t="shared" si="39"/>
        <v>0.92719529365251374</v>
      </c>
    </row>
    <row r="31" spans="1:44" x14ac:dyDescent="0.25">
      <c r="A31" s="29" t="s">
        <v>38</v>
      </c>
      <c r="B31" s="32"/>
      <c r="C31" s="31">
        <v>754186</v>
      </c>
      <c r="D31" s="31">
        <v>783877</v>
      </c>
      <c r="E31" s="31">
        <v>869857</v>
      </c>
      <c r="F31" s="31">
        <v>924978</v>
      </c>
      <c r="G31" s="31">
        <v>982205</v>
      </c>
      <c r="H31" s="31">
        <v>1142210</v>
      </c>
      <c r="I31" s="31">
        <v>1191200</v>
      </c>
      <c r="J31" s="31">
        <v>1260331</v>
      </c>
      <c r="K31" s="31">
        <v>1296572</v>
      </c>
      <c r="L31" s="31">
        <v>1345580</v>
      </c>
      <c r="M31" s="49">
        <v>1377226</v>
      </c>
      <c r="N31" s="49">
        <f>M65*$N$2</f>
        <v>1418542.78</v>
      </c>
      <c r="O31" s="31">
        <f>M65*$O$2</f>
        <v>1461099.0633999999</v>
      </c>
      <c r="P31" s="31">
        <f>M65*$P$2</f>
        <v>1504932.0353019999</v>
      </c>
      <c r="Q31" s="31">
        <f>M65*$Q$2</f>
        <v>1550079.9963610601</v>
      </c>
      <c r="R31" s="31">
        <f t="shared" si="6"/>
        <v>1596582.396251892</v>
      </c>
      <c r="S31" s="31">
        <f t="shared" si="11"/>
        <v>1620531.1321956702</v>
      </c>
      <c r="T31" t="s">
        <v>80</v>
      </c>
      <c r="V31" s="18"/>
      <c r="W31" s="18">
        <f>W27-((W18-W20)/W15)</f>
        <v>0.14566084960386502</v>
      </c>
      <c r="X31" s="18">
        <f>X27-((X18-X20)/X15)</f>
        <v>0.20891791458549097</v>
      </c>
      <c r="Y31" s="18">
        <f>Y27-((Y18-Y20)/Y15)</f>
        <v>0.21653079202599176</v>
      </c>
      <c r="Z31" s="18">
        <f t="shared" ref="Z31:AD31" si="40">Z27-((Z18-Z20)/Z15)</f>
        <v>0.25566359594768068</v>
      </c>
      <c r="AA31" s="18">
        <f t="shared" si="40"/>
        <v>0.20023855319145054</v>
      </c>
      <c r="AB31" s="18">
        <f t="shared" si="40"/>
        <v>0.2060410784074046</v>
      </c>
      <c r="AC31" s="18">
        <f t="shared" si="40"/>
        <v>0.20603559243447417</v>
      </c>
      <c r="AD31" s="18">
        <f t="shared" si="40"/>
        <v>0.19393297464320955</v>
      </c>
      <c r="AE31" s="18">
        <f>AE27-((AE18-AE20)/AE15)</f>
        <v>0.19848875839869601</v>
      </c>
      <c r="AF31" s="18">
        <f>AF27-((AF18-AF20)/AF15)</f>
        <v>0.21422552014668916</v>
      </c>
      <c r="AG31" s="73">
        <f>AG27-((AG18-AG20)/AG15)</f>
        <v>0.20770378914465826</v>
      </c>
      <c r="AH31" s="73">
        <f>AH27-((AH18-AH20)/AH15)</f>
        <v>0.20770378914465815</v>
      </c>
      <c r="AI31" s="73">
        <f t="shared" ref="AI31:AL31" si="41">AI27-((AI18-AI20)/AI15)</f>
        <v>0.20770378914465815</v>
      </c>
      <c r="AJ31" s="73">
        <f t="shared" si="41"/>
        <v>0.20770378914465804</v>
      </c>
      <c r="AK31" s="73">
        <f t="shared" si="41"/>
        <v>0.20770378914465809</v>
      </c>
      <c r="AL31" s="73">
        <f t="shared" si="41"/>
        <v>0.20620264152020584</v>
      </c>
    </row>
    <row r="32" spans="1:44" x14ac:dyDescent="0.25">
      <c r="A32" s="29" t="s">
        <v>39</v>
      </c>
      <c r="B32" s="32"/>
      <c r="C32" s="31">
        <v>5860784</v>
      </c>
      <c r="D32" s="31">
        <v>5897603</v>
      </c>
      <c r="E32" s="31">
        <v>6115961</v>
      </c>
      <c r="F32" s="31">
        <v>6371082</v>
      </c>
      <c r="G32" s="31">
        <v>7032020</v>
      </c>
      <c r="H32" s="31">
        <v>1290461</v>
      </c>
      <c r="I32" s="31">
        <v>1928673</v>
      </c>
      <c r="J32" s="31">
        <v>2719936</v>
      </c>
      <c r="K32" s="31">
        <v>3589781</v>
      </c>
      <c r="L32" s="31">
        <v>4562263</v>
      </c>
      <c r="M32" s="49">
        <v>5698316</v>
      </c>
      <c r="N32" s="49">
        <f>M66*$N$2</f>
        <v>5869265.4800000004</v>
      </c>
      <c r="O32" s="31">
        <f>M66*$O$2</f>
        <v>6045343.4444000004</v>
      </c>
      <c r="P32" s="31">
        <f>M66*$P$2</f>
        <v>6226703.7477320004</v>
      </c>
      <c r="Q32" s="31">
        <f t="shared" si="5"/>
        <v>6413504.8601639606</v>
      </c>
      <c r="R32" s="31">
        <f t="shared" si="6"/>
        <v>6605910.0059688799</v>
      </c>
      <c r="S32" s="31">
        <f t="shared" si="11"/>
        <v>6704998.656058412</v>
      </c>
      <c r="AG32" s="68"/>
      <c r="AH32" s="68"/>
      <c r="AI32" s="68"/>
      <c r="AJ32" s="68"/>
      <c r="AK32" s="68"/>
      <c r="AL32" s="68"/>
    </row>
    <row r="33" spans="1:38" x14ac:dyDescent="0.25">
      <c r="A33" s="29" t="s">
        <v>40</v>
      </c>
      <c r="B33" s="32"/>
      <c r="C33" s="31">
        <v>-5161236</v>
      </c>
      <c r="D33" s="31">
        <v>-5672359</v>
      </c>
      <c r="E33" s="31">
        <v>-6183975</v>
      </c>
      <c r="F33" s="31">
        <v>-6426877</v>
      </c>
      <c r="G33" s="31">
        <v>-6618625</v>
      </c>
      <c r="H33" s="31">
        <v>-591036</v>
      </c>
      <c r="I33" s="31">
        <v>-768992</v>
      </c>
      <c r="J33" s="31">
        <v>-1195376</v>
      </c>
      <c r="K33" s="31">
        <v>-1556029</v>
      </c>
      <c r="L33" s="31">
        <v>-1800232</v>
      </c>
      <c r="M33" s="49">
        <v>-2278551</v>
      </c>
      <c r="N33" s="49">
        <f>M67*$N$2</f>
        <v>-2346907.5300000003</v>
      </c>
      <c r="O33" s="31">
        <f>M67*$O$2</f>
        <v>-2417314.7559000002</v>
      </c>
      <c r="P33" s="31">
        <f>M67*$P$2</f>
        <v>-2489834.1985769998</v>
      </c>
      <c r="Q33" s="31">
        <f t="shared" si="5"/>
        <v>-2564529.2245343104</v>
      </c>
      <c r="R33" s="31">
        <f t="shared" si="6"/>
        <v>-2641465.1012703395</v>
      </c>
      <c r="S33" s="31">
        <f t="shared" si="11"/>
        <v>-2681087.0777893947</v>
      </c>
      <c r="T33" t="s">
        <v>81</v>
      </c>
      <c r="V33" s="18"/>
      <c r="W33" s="18">
        <f>W27+(W30*W31)</f>
        <v>0.40718216420042352</v>
      </c>
      <c r="X33" s="18">
        <f t="shared" ref="X33:AD33" si="42">X27+(X30*X31)</f>
        <v>0.7679859040534911</v>
      </c>
      <c r="Y33" s="18">
        <f t="shared" si="42"/>
        <v>0.8901294413762213</v>
      </c>
      <c r="Z33" s="18">
        <f t="shared" si="42"/>
        <v>1.006966300686112</v>
      </c>
      <c r="AA33" s="18">
        <f t="shared" si="42"/>
        <v>0.72943983047083683</v>
      </c>
      <c r="AB33" s="18">
        <f t="shared" si="42"/>
        <v>0.64210268105191293</v>
      </c>
      <c r="AC33" s="18">
        <f t="shared" si="42"/>
        <v>0.59158313166952015</v>
      </c>
      <c r="AD33" s="18">
        <f t="shared" si="42"/>
        <v>0.54313311725567393</v>
      </c>
      <c r="AE33" s="18">
        <f>AE27+(AE30*AE31)</f>
        <v>0.50327885027363173</v>
      </c>
      <c r="AF33" s="18">
        <f>AF27+(AF30*AF31)</f>
        <v>0.50404005564039778</v>
      </c>
      <c r="AG33" s="73">
        <f>AG27+(AG30*AG31)</f>
        <v>0.47809769118120371</v>
      </c>
      <c r="AH33" s="73">
        <f t="shared" ref="AH33:AL33" si="43">AH27+(AH30*AH31)</f>
        <v>0.47809769118120349</v>
      </c>
      <c r="AI33" s="73">
        <f t="shared" si="43"/>
        <v>0.47809769118120349</v>
      </c>
      <c r="AJ33" s="73">
        <f t="shared" si="43"/>
        <v>0.47809769118120338</v>
      </c>
      <c r="AK33" s="73">
        <f t="shared" si="43"/>
        <v>0.47809769118120332</v>
      </c>
      <c r="AL33" s="73">
        <f t="shared" si="43"/>
        <v>0.4746423126523458</v>
      </c>
    </row>
    <row r="34" spans="1:38" x14ac:dyDescent="0.25">
      <c r="A34" s="29" t="s">
        <v>41</v>
      </c>
      <c r="B34" s="32"/>
      <c r="C34" s="31">
        <v>-358573</v>
      </c>
      <c r="D34" s="31">
        <v>-371025</v>
      </c>
      <c r="E34" s="31">
        <v>-375888</v>
      </c>
      <c r="F34" s="31">
        <v>-313746</v>
      </c>
      <c r="G34" s="31">
        <v>-356780</v>
      </c>
      <c r="H34" s="31">
        <v>-323966</v>
      </c>
      <c r="I34" s="31">
        <v>-338082</v>
      </c>
      <c r="J34" s="31">
        <v>-249215</v>
      </c>
      <c r="K34" s="31">
        <v>-252333</v>
      </c>
      <c r="L34" s="31">
        <v>-230078</v>
      </c>
      <c r="M34" s="49">
        <v>-303890</v>
      </c>
      <c r="N34" s="49">
        <f>M68*$N$2</f>
        <v>-313006.7</v>
      </c>
      <c r="O34" s="31">
        <f>M68*$O$2</f>
        <v>-322396.90100000001</v>
      </c>
      <c r="P34" s="31">
        <f>M68*$P$2</f>
        <v>-332068.80803000001</v>
      </c>
      <c r="Q34" s="31">
        <f t="shared" si="5"/>
        <v>-342030.87227090006</v>
      </c>
      <c r="R34" s="31">
        <f t="shared" si="6"/>
        <v>-352291.79843902704</v>
      </c>
      <c r="S34" s="31">
        <f t="shared" si="11"/>
        <v>-357576.17541561241</v>
      </c>
      <c r="AG34" s="68"/>
      <c r="AH34" s="68"/>
      <c r="AI34" s="68"/>
      <c r="AJ34" s="68"/>
      <c r="AK34" s="68"/>
      <c r="AL34" s="68"/>
    </row>
    <row r="35" spans="1:38" x14ac:dyDescent="0.25">
      <c r="A35" s="11" t="s">
        <v>42</v>
      </c>
      <c r="B35" s="12"/>
      <c r="C35" s="14">
        <v>1455062</v>
      </c>
      <c r="D35" s="14">
        <v>997997</v>
      </c>
      <c r="E35" s="14">
        <v>785856</v>
      </c>
      <c r="F35" s="14">
        <v>915338</v>
      </c>
      <c r="G35" s="14">
        <v>1398721</v>
      </c>
      <c r="H35" s="14">
        <v>1739222</v>
      </c>
      <c r="I35" s="14">
        <v>2234352</v>
      </c>
      <c r="J35" s="14">
        <v>2757229</v>
      </c>
      <c r="K35" s="14">
        <v>3299544</v>
      </c>
      <c r="L35" s="14">
        <v>4099086</v>
      </c>
      <c r="M35" s="46">
        <v>4714654</v>
      </c>
      <c r="N35" s="46">
        <f>N18-N28</f>
        <v>4856093.6199999992</v>
      </c>
      <c r="O35" s="46">
        <f t="shared" ref="O35:Q35" si="44">O18-O28</f>
        <v>5001776.4286000002</v>
      </c>
      <c r="P35" s="46">
        <f t="shared" si="44"/>
        <v>5151829.7214580011</v>
      </c>
      <c r="Q35" s="46">
        <f t="shared" si="44"/>
        <v>5306384.6131017394</v>
      </c>
      <c r="R35" s="46">
        <f>R18-R28</f>
        <v>5465576.1514947955</v>
      </c>
      <c r="S35" s="46">
        <f>S18-S28</f>
        <v>5547559.7937672138</v>
      </c>
      <c r="T35" s="6"/>
      <c r="U35" s="6"/>
      <c r="V35" s="6"/>
      <c r="W35" s="6"/>
      <c r="X35" s="6"/>
      <c r="Y35" s="6"/>
      <c r="Z35" s="6"/>
      <c r="AA35" s="6"/>
      <c r="AB35" s="6"/>
      <c r="AC35" s="6"/>
      <c r="AF35">
        <v>2024</v>
      </c>
      <c r="AG35" s="69">
        <v>2025</v>
      </c>
      <c r="AH35" s="69">
        <v>2026</v>
      </c>
      <c r="AI35" s="69">
        <v>2027</v>
      </c>
      <c r="AJ35" s="69">
        <v>2028</v>
      </c>
      <c r="AK35" s="69">
        <v>2029</v>
      </c>
      <c r="AL35" s="102" t="s">
        <v>104</v>
      </c>
    </row>
    <row r="36" spans="1:38" x14ac:dyDescent="0.25">
      <c r="A36" s="29" t="s">
        <v>43</v>
      </c>
      <c r="B36" s="32"/>
      <c r="C36" s="31">
        <v>64468</v>
      </c>
      <c r="D36" s="31">
        <v>49465</v>
      </c>
      <c r="E36" s="31">
        <v>41831</v>
      </c>
      <c r="F36" s="31">
        <v>16227</v>
      </c>
      <c r="G36" s="31">
        <v>8545</v>
      </c>
      <c r="H36" s="31">
        <v>5772</v>
      </c>
      <c r="I36" s="31">
        <v>3531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1">
        <f>M70*$P$2</f>
        <v>0</v>
      </c>
      <c r="Q36" s="31">
        <f t="shared" si="5"/>
        <v>0</v>
      </c>
      <c r="R36" s="31">
        <f t="shared" si="6"/>
        <v>0</v>
      </c>
      <c r="S36" s="31">
        <f t="shared" si="11"/>
        <v>0</v>
      </c>
      <c r="T36" t="s">
        <v>83</v>
      </c>
      <c r="U36" s="6"/>
      <c r="V36" s="6"/>
      <c r="W36" s="6"/>
      <c r="X36" s="6"/>
      <c r="Y36" s="6"/>
      <c r="Z36" s="6"/>
      <c r="AA36" s="6"/>
      <c r="AB36" s="6"/>
      <c r="AC36" s="6"/>
      <c r="AG36" s="68"/>
      <c r="AH36" s="68"/>
      <c r="AI36" s="68"/>
      <c r="AJ36" s="68"/>
      <c r="AK36" s="68"/>
      <c r="AL36" s="68"/>
    </row>
    <row r="37" spans="1:38" x14ac:dyDescent="0.25">
      <c r="A37" s="11" t="s">
        <v>44</v>
      </c>
      <c r="B37" s="12"/>
      <c r="C37" s="14">
        <v>1519530</v>
      </c>
      <c r="D37" s="14">
        <v>1047462</v>
      </c>
      <c r="E37" s="14">
        <v>827687</v>
      </c>
      <c r="F37" s="14">
        <v>931565</v>
      </c>
      <c r="G37" s="14">
        <v>1407266</v>
      </c>
      <c r="H37" s="14">
        <v>1744994</v>
      </c>
      <c r="I37" s="14">
        <v>2237883</v>
      </c>
      <c r="J37" s="14">
        <v>2757229</v>
      </c>
      <c r="K37" s="14">
        <v>3299544</v>
      </c>
      <c r="L37" s="14">
        <v>4099086</v>
      </c>
      <c r="M37" s="46">
        <v>4714654</v>
      </c>
      <c r="N37" s="46">
        <f t="shared" ref="N37:S37" si="45">N18-N28</f>
        <v>4856093.6199999992</v>
      </c>
      <c r="O37" s="46">
        <f t="shared" si="45"/>
        <v>5001776.4286000002</v>
      </c>
      <c r="P37" s="46">
        <f t="shared" si="45"/>
        <v>5151829.7214580011</v>
      </c>
      <c r="Q37" s="46">
        <f t="shared" si="45"/>
        <v>5306384.6131017394</v>
      </c>
      <c r="R37" s="46">
        <f t="shared" si="45"/>
        <v>5465576.1514947955</v>
      </c>
      <c r="S37" s="46">
        <f t="shared" si="45"/>
        <v>5547559.7937672138</v>
      </c>
      <c r="T37" t="s">
        <v>72</v>
      </c>
      <c r="V37" s="17">
        <f t="shared" ref="V37:AL37" si="46">V17</f>
        <v>7421768</v>
      </c>
      <c r="W37" s="17">
        <f t="shared" si="46"/>
        <v>7386626</v>
      </c>
      <c r="X37" s="17">
        <f t="shared" si="46"/>
        <v>7440181</v>
      </c>
      <c r="Y37" s="17">
        <f t="shared" si="46"/>
        <v>7515426</v>
      </c>
      <c r="Z37" s="17">
        <f t="shared" si="46"/>
        <v>7791069</v>
      </c>
      <c r="AA37" s="17">
        <f t="shared" si="46"/>
        <v>7986252</v>
      </c>
      <c r="AB37" s="17">
        <f t="shared" si="46"/>
        <v>8149719</v>
      </c>
      <c r="AC37" s="17">
        <f t="shared" si="46"/>
        <v>8971337</v>
      </c>
      <c r="AD37" s="17">
        <f t="shared" si="46"/>
        <v>10419294</v>
      </c>
      <c r="AE37" s="17">
        <f t="shared" si="46"/>
        <v>11164992</v>
      </c>
      <c r="AF37" s="17">
        <f>AF17</f>
        <v>11202263</v>
      </c>
      <c r="AG37" s="72">
        <f t="shared" si="46"/>
        <v>11538330.890000001</v>
      </c>
      <c r="AH37" s="72">
        <f t="shared" si="46"/>
        <v>11884480.8167</v>
      </c>
      <c r="AI37" s="72">
        <f t="shared" si="46"/>
        <v>12241015.241201</v>
      </c>
      <c r="AJ37" s="72">
        <f t="shared" si="46"/>
        <v>12608245.698437031</v>
      </c>
      <c r="AK37" s="72">
        <f t="shared" si="46"/>
        <v>12986493.069390142</v>
      </c>
      <c r="AL37" s="72">
        <f t="shared" si="46"/>
        <v>13181290.465430994</v>
      </c>
    </row>
    <row r="38" spans="1:38" x14ac:dyDescent="0.25">
      <c r="T38" t="s">
        <v>63</v>
      </c>
      <c r="V38" s="16">
        <f>IS!C36</f>
        <v>901207.8</v>
      </c>
      <c r="W38" s="16">
        <f>IS!D36</f>
        <v>611842.44999999995</v>
      </c>
      <c r="X38" s="16">
        <f>IS!E36</f>
        <v>794795.95</v>
      </c>
      <c r="Y38" s="16">
        <f>IS!F36</f>
        <v>886111.3</v>
      </c>
      <c r="Z38" s="16">
        <f>IS!G36</f>
        <v>1355498.23</v>
      </c>
      <c r="AA38" s="16">
        <f>IS!H36</f>
        <v>1331653.75</v>
      </c>
      <c r="AB38" s="16">
        <f>IS!I36</f>
        <v>1531745.46</v>
      </c>
      <c r="AC38" s="16">
        <f>IS!J36</f>
        <v>1702559.43</v>
      </c>
      <c r="AD38" s="16">
        <f>IS!K36</f>
        <v>1959646.03</v>
      </c>
      <c r="AE38" s="16">
        <f>IS!L36</f>
        <v>2218915.15</v>
      </c>
      <c r="AF38" s="16">
        <f>SAISUpper!M36</f>
        <v>2610747.4500000002</v>
      </c>
      <c r="AG38" s="16">
        <f>SAISUpper!N36</f>
        <v>2689069.8734999998</v>
      </c>
      <c r="AH38" s="16">
        <f>SAISUpper!O36</f>
        <v>2769741.9697049996</v>
      </c>
      <c r="AI38" s="16">
        <f>SAISUpper!P36</f>
        <v>2852834.2287961496</v>
      </c>
      <c r="AJ38" s="16">
        <f>SAISUpper!Q36</f>
        <v>2938419.2556600343</v>
      </c>
      <c r="AK38" s="16">
        <f>SAISUpper!R36</f>
        <v>3026571.833329835</v>
      </c>
      <c r="AL38" s="16">
        <f>SAISUpper!S36</f>
        <v>3071970.410829783</v>
      </c>
    </row>
    <row r="39" spans="1:38" x14ac:dyDescent="0.25">
      <c r="A39" s="2"/>
      <c r="T39" t="s">
        <v>73</v>
      </c>
      <c r="V39" s="16"/>
      <c r="W39" s="16">
        <f t="shared" ref="W39:AJ39" si="47">W19</f>
        <v>1283496</v>
      </c>
      <c r="X39" s="16">
        <f t="shared" si="47"/>
        <v>937574.5</v>
      </c>
      <c r="Y39" s="16">
        <f t="shared" si="47"/>
        <v>879626</v>
      </c>
      <c r="Z39" s="16">
        <f t="shared" si="47"/>
        <v>1169415.5</v>
      </c>
      <c r="AA39" s="16">
        <f t="shared" si="47"/>
        <v>1576130</v>
      </c>
      <c r="AB39" s="16">
        <f t="shared" si="47"/>
        <v>1991438.5</v>
      </c>
      <c r="AC39" s="16">
        <f t="shared" si="47"/>
        <v>2497556</v>
      </c>
      <c r="AD39" s="16">
        <f t="shared" si="47"/>
        <v>3028386.5</v>
      </c>
      <c r="AE39" s="16">
        <f t="shared" si="47"/>
        <v>3699315</v>
      </c>
      <c r="AF39" s="16">
        <f t="shared" si="47"/>
        <v>4406870</v>
      </c>
      <c r="AG39" s="70">
        <f t="shared" si="47"/>
        <v>4785373.8099999996</v>
      </c>
      <c r="AH39" s="70">
        <f t="shared" si="47"/>
        <v>4928935.0242999997</v>
      </c>
      <c r="AI39" s="70">
        <f t="shared" si="47"/>
        <v>5076803.0750290006</v>
      </c>
      <c r="AJ39" s="70">
        <f t="shared" si="47"/>
        <v>5229107.1672798702</v>
      </c>
      <c r="AK39" s="70">
        <f>AK19</f>
        <v>5385980.3822982674</v>
      </c>
      <c r="AL39" s="70">
        <f>AL19</f>
        <v>5506567.9726310046</v>
      </c>
    </row>
    <row r="40" spans="1:38" x14ac:dyDescent="0.25">
      <c r="A40" s="3"/>
      <c r="C40" s="4"/>
      <c r="D40" s="4"/>
      <c r="E40" s="4"/>
      <c r="F40" s="4"/>
      <c r="G40" s="4"/>
      <c r="H40" s="4"/>
      <c r="I40" s="4"/>
      <c r="J40" s="4"/>
      <c r="K40" s="4"/>
      <c r="L40" s="4"/>
      <c r="T40" s="16" t="s">
        <v>74</v>
      </c>
      <c r="U40" s="16"/>
      <c r="V40" s="16">
        <f>IS!C20</f>
        <v>846912</v>
      </c>
      <c r="W40" s="16">
        <f>IS!D20</f>
        <v>512951</v>
      </c>
      <c r="X40" s="16">
        <f>IS!E20</f>
        <v>720044</v>
      </c>
      <c r="Y40" s="16">
        <f>IS!F20</f>
        <v>782981</v>
      </c>
      <c r="Z40" s="16">
        <f>IS!G20</f>
        <v>1177562</v>
      </c>
      <c r="AA40" s="16">
        <f>IS!H20</f>
        <v>1149692</v>
      </c>
      <c r="AB40" s="16">
        <f>IS!I20</f>
        <v>1278708</v>
      </c>
      <c r="AC40" s="16">
        <f>IS!J20</f>
        <v>1477512</v>
      </c>
      <c r="AD40" s="16">
        <f>IS!K20</f>
        <v>1644817</v>
      </c>
      <c r="AE40" s="16">
        <f>IS!L20</f>
        <v>1861787</v>
      </c>
      <c r="AF40" s="16">
        <f>SAISUpper!M20</f>
        <v>2221239</v>
      </c>
      <c r="AG40" s="16">
        <f>SAISUpper!N20</f>
        <v>2287876.17</v>
      </c>
      <c r="AH40" s="16">
        <f>SAISUpper!O20</f>
        <v>2356512.4550999994</v>
      </c>
      <c r="AI40" s="16">
        <f>SAISUpper!P20</f>
        <v>2427207.8287529997</v>
      </c>
      <c r="AJ40" s="16">
        <f>SAISUpper!Q20</f>
        <v>2500024.0636155894</v>
      </c>
      <c r="AK40" s="16">
        <f>SAISUpper!R20</f>
        <v>2575024.7855240568</v>
      </c>
      <c r="AL40" s="16">
        <f>SAISUpper!S20</f>
        <v>2613650.1573069189</v>
      </c>
    </row>
    <row r="41" spans="1:38" x14ac:dyDescent="0.25">
      <c r="A41" s="3"/>
      <c r="C41" s="4"/>
      <c r="D41" s="4"/>
      <c r="E41" s="4"/>
      <c r="F41" s="4"/>
      <c r="G41" s="4"/>
      <c r="H41" s="4"/>
      <c r="I41" s="4"/>
      <c r="J41" s="4"/>
      <c r="K41" s="107" t="s">
        <v>87</v>
      </c>
      <c r="L41" s="107"/>
      <c r="M41" s="107"/>
      <c r="AG41" s="68"/>
      <c r="AH41" s="68"/>
      <c r="AI41" s="68"/>
      <c r="AJ41" s="68"/>
      <c r="AK41" s="68"/>
      <c r="AL41" s="68"/>
    </row>
    <row r="42" spans="1:38" x14ac:dyDescent="0.25">
      <c r="A42" s="3"/>
      <c r="C42" s="4"/>
      <c r="D42" s="4"/>
      <c r="E42" s="4"/>
      <c r="F42" s="4"/>
      <c r="G42" s="4"/>
      <c r="H42" s="4"/>
      <c r="I42" s="4"/>
      <c r="J42" s="4"/>
      <c r="K42" s="86" t="s">
        <v>16</v>
      </c>
      <c r="L42" s="86"/>
      <c r="M42" s="77">
        <f>M8/$M$2</f>
        <v>6.5231998213218165E-2</v>
      </c>
      <c r="Z42" s="34"/>
      <c r="AG42" s="68"/>
      <c r="AH42" s="68"/>
      <c r="AI42" s="68"/>
      <c r="AJ42" s="68"/>
      <c r="AK42" s="68"/>
      <c r="AL42" s="68"/>
    </row>
    <row r="43" spans="1:38" x14ac:dyDescent="0.25">
      <c r="A43" s="3"/>
      <c r="C43" s="4"/>
      <c r="D43" s="4"/>
      <c r="E43" s="4"/>
      <c r="F43" s="4"/>
      <c r="G43" s="4"/>
      <c r="H43" s="4"/>
      <c r="I43" s="4"/>
      <c r="J43" s="4"/>
      <c r="K43" s="86" t="s">
        <v>17</v>
      </c>
      <c r="L43" s="86"/>
      <c r="M43" s="77">
        <f>M9/$M$2</f>
        <v>7.145002755246864E-2</v>
      </c>
      <c r="O43" s="62"/>
      <c r="T43" t="s">
        <v>75</v>
      </c>
      <c r="V43" s="34"/>
      <c r="W43" s="34">
        <f t="shared" ref="W43:AE43" si="48">W40/W39</f>
        <v>0.39965142080692112</v>
      </c>
      <c r="X43" s="34">
        <f t="shared" si="48"/>
        <v>0.76798590405349121</v>
      </c>
      <c r="Y43" s="34">
        <f t="shared" si="48"/>
        <v>0.8901294413762213</v>
      </c>
      <c r="Z43" s="34">
        <f t="shared" si="48"/>
        <v>1.006966300686112</v>
      </c>
      <c r="AA43" s="34">
        <f t="shared" si="48"/>
        <v>0.72943983047083683</v>
      </c>
      <c r="AB43" s="34">
        <f t="shared" si="48"/>
        <v>0.64210268105191293</v>
      </c>
      <c r="AC43" s="34">
        <f t="shared" si="48"/>
        <v>0.59158313166952015</v>
      </c>
      <c r="AD43" s="34">
        <f t="shared" si="48"/>
        <v>0.54313311725567393</v>
      </c>
      <c r="AE43" s="34">
        <f t="shared" si="48"/>
        <v>0.50327885027363173</v>
      </c>
      <c r="AF43" s="34">
        <f>AF40/AF39</f>
        <v>0.50404005564039789</v>
      </c>
      <c r="AG43" s="77">
        <f t="shared" ref="AG43:AL43" si="49">AG40/AG39</f>
        <v>0.47809769118120371</v>
      </c>
      <c r="AH43" s="77">
        <f t="shared" si="49"/>
        <v>0.4780976911812036</v>
      </c>
      <c r="AI43" s="77">
        <f t="shared" si="49"/>
        <v>0.47809769118120354</v>
      </c>
      <c r="AJ43" s="77">
        <f t="shared" si="49"/>
        <v>0.47809769118120354</v>
      </c>
      <c r="AK43" s="77">
        <f t="shared" si="49"/>
        <v>0.47809769118120338</v>
      </c>
      <c r="AL43" s="77">
        <f t="shared" si="49"/>
        <v>0.47464231265234574</v>
      </c>
    </row>
    <row r="44" spans="1:38" x14ac:dyDescent="0.25">
      <c r="A44" s="3"/>
      <c r="C44" s="4"/>
      <c r="D44" s="4"/>
      <c r="E44" s="4"/>
      <c r="F44" s="4"/>
      <c r="G44" s="4"/>
      <c r="H44" s="4"/>
      <c r="I44" s="4"/>
      <c r="J44" s="4"/>
      <c r="K44" s="86" t="s">
        <v>18</v>
      </c>
      <c r="L44" s="86"/>
      <c r="M44" s="77">
        <f>M10/$M$2</f>
        <v>0.11195005866225423</v>
      </c>
      <c r="T44" s="69" t="s">
        <v>63</v>
      </c>
      <c r="V44" s="35">
        <f t="shared" ref="V44:AE44" si="50">V38</f>
        <v>901207.8</v>
      </c>
      <c r="W44" s="35">
        <f t="shared" si="50"/>
        <v>611842.44999999995</v>
      </c>
      <c r="X44" s="35">
        <f t="shared" si="50"/>
        <v>794795.95</v>
      </c>
      <c r="Y44" s="35">
        <f t="shared" si="50"/>
        <v>886111.3</v>
      </c>
      <c r="Z44" s="35">
        <f t="shared" si="50"/>
        <v>1355498.23</v>
      </c>
      <c r="AA44" s="35">
        <f t="shared" si="50"/>
        <v>1331653.75</v>
      </c>
      <c r="AB44" s="35">
        <f t="shared" si="50"/>
        <v>1531745.46</v>
      </c>
      <c r="AC44" s="35">
        <f t="shared" si="50"/>
        <v>1702559.43</v>
      </c>
      <c r="AD44" s="35">
        <f t="shared" si="50"/>
        <v>1959646.03</v>
      </c>
      <c r="AE44" s="35">
        <f t="shared" si="50"/>
        <v>2218915.15</v>
      </c>
      <c r="AF44" s="35">
        <f>AF38</f>
        <v>2610747.4500000002</v>
      </c>
      <c r="AG44" s="78">
        <f t="shared" ref="AG44:AL44" si="51">AG38</f>
        <v>2689069.8734999998</v>
      </c>
      <c r="AH44" s="78">
        <f t="shared" si="51"/>
        <v>2769741.9697049996</v>
      </c>
      <c r="AI44" s="78">
        <f t="shared" si="51"/>
        <v>2852834.2287961496</v>
      </c>
      <c r="AJ44" s="78">
        <f t="shared" si="51"/>
        <v>2938419.2556600343</v>
      </c>
      <c r="AK44" s="78">
        <f t="shared" si="51"/>
        <v>3026571.833329835</v>
      </c>
      <c r="AL44" s="78">
        <f t="shared" si="51"/>
        <v>3071970.410829783</v>
      </c>
    </row>
    <row r="45" spans="1:38" x14ac:dyDescent="0.25">
      <c r="A45" s="5"/>
      <c r="C45" s="6"/>
      <c r="D45" s="59"/>
      <c r="E45" s="6"/>
      <c r="F45" s="6"/>
      <c r="G45" s="6"/>
      <c r="H45" s="6"/>
      <c r="I45" s="6"/>
      <c r="J45" s="6"/>
      <c r="K45" s="86" t="s">
        <v>20</v>
      </c>
      <c r="L45" s="86"/>
      <c r="M45" s="77">
        <f t="shared" ref="M45:M70" si="52">M11/$M$2</f>
        <v>8.6965910370074326E-2</v>
      </c>
      <c r="T45" s="69" t="s">
        <v>66</v>
      </c>
      <c r="V45" s="16">
        <f t="shared" ref="V45:AL45" si="53">V9</f>
        <v>3131494</v>
      </c>
      <c r="W45" s="16">
        <f t="shared" si="53"/>
        <v>3121460</v>
      </c>
      <c r="X45" s="16">
        <f t="shared" si="53"/>
        <v>3510889</v>
      </c>
      <c r="Y45" s="16">
        <f t="shared" si="53"/>
        <v>3471866</v>
      </c>
      <c r="Z45" s="16">
        <f t="shared" si="53"/>
        <v>5276864</v>
      </c>
      <c r="AA45" s="16">
        <f t="shared" si="53"/>
        <v>5518217</v>
      </c>
      <c r="AB45" s="16">
        <f t="shared" si="53"/>
        <v>5696521</v>
      </c>
      <c r="AC45" s="16">
        <f t="shared" si="53"/>
        <v>7456857</v>
      </c>
      <c r="AD45" s="16">
        <f t="shared" si="53"/>
        <v>7627000</v>
      </c>
      <c r="AE45" s="16">
        <f t="shared" si="53"/>
        <v>8511213</v>
      </c>
      <c r="AF45" s="16">
        <f t="shared" si="53"/>
        <v>9086059</v>
      </c>
      <c r="AG45" s="70">
        <f t="shared" si="53"/>
        <v>9358640.7699999996</v>
      </c>
      <c r="AH45" s="70">
        <f t="shared" si="53"/>
        <v>9639399.9931000024</v>
      </c>
      <c r="AI45" s="70">
        <f t="shared" si="53"/>
        <v>9928581.9928930011</v>
      </c>
      <c r="AJ45" s="70">
        <f t="shared" si="53"/>
        <v>10226439.452679792</v>
      </c>
      <c r="AK45" s="70">
        <f t="shared" si="53"/>
        <v>10533232.636260185</v>
      </c>
      <c r="AL45" s="70">
        <f t="shared" si="53"/>
        <v>10691231.125804085</v>
      </c>
    </row>
    <row r="46" spans="1:38" x14ac:dyDescent="0.25">
      <c r="A46" s="5"/>
      <c r="C46" s="7"/>
      <c r="D46" s="7"/>
      <c r="E46" s="7"/>
      <c r="F46" s="7"/>
      <c r="G46" s="7"/>
      <c r="H46" s="7"/>
      <c r="I46" s="7"/>
      <c r="J46" s="7"/>
      <c r="K46" s="87" t="s">
        <v>21</v>
      </c>
      <c r="L46" s="87"/>
      <c r="M46" s="77"/>
      <c r="T46" t="s">
        <v>70</v>
      </c>
      <c r="V46" s="16">
        <f t="shared" ref="V46:AL46" si="54">V14</f>
        <v>1712479</v>
      </c>
      <c r="W46" s="16">
        <f t="shared" si="54"/>
        <v>2073998</v>
      </c>
      <c r="X46" s="16">
        <f t="shared" si="54"/>
        <v>2683202</v>
      </c>
      <c r="Y46" s="16">
        <f t="shared" si="54"/>
        <v>2540301</v>
      </c>
      <c r="Z46" s="16">
        <f t="shared" si="54"/>
        <v>3869598</v>
      </c>
      <c r="AA46" s="16">
        <f t="shared" si="54"/>
        <v>3773223</v>
      </c>
      <c r="AB46" s="16">
        <f t="shared" si="54"/>
        <v>3458638</v>
      </c>
      <c r="AC46" s="16">
        <f t="shared" si="54"/>
        <v>4699628</v>
      </c>
      <c r="AD46" s="16">
        <f t="shared" si="54"/>
        <v>4327456</v>
      </c>
      <c r="AE46" s="16">
        <f t="shared" si="54"/>
        <v>4412127</v>
      </c>
      <c r="AF46" s="16">
        <f>AF14</f>
        <v>4371405</v>
      </c>
      <c r="AG46" s="70">
        <f t="shared" si="54"/>
        <v>4502547.1500000004</v>
      </c>
      <c r="AH46" s="70">
        <f t="shared" si="54"/>
        <v>4637623.5644999994</v>
      </c>
      <c r="AI46" s="70">
        <f t="shared" si="54"/>
        <v>4776752.271435</v>
      </c>
      <c r="AJ46" s="70">
        <f t="shared" si="54"/>
        <v>4920054.8395780493</v>
      </c>
      <c r="AK46" s="70">
        <f t="shared" si="54"/>
        <v>5067656.4847653918</v>
      </c>
      <c r="AL46" s="70">
        <f t="shared" si="54"/>
        <v>5143671.3320368724</v>
      </c>
    </row>
    <row r="47" spans="1:38" x14ac:dyDescent="0.25">
      <c r="A47" s="5"/>
      <c r="C47" s="6"/>
      <c r="D47" s="6"/>
      <c r="E47" s="6"/>
      <c r="F47" s="6"/>
      <c r="G47" s="6"/>
      <c r="H47" s="6"/>
      <c r="I47" s="6"/>
      <c r="J47" s="6"/>
      <c r="K47" s="86" t="s">
        <v>22</v>
      </c>
      <c r="L47" s="86"/>
      <c r="M47" s="77">
        <f t="shared" si="52"/>
        <v>0.30876377389104326</v>
      </c>
      <c r="T47" t="s">
        <v>76</v>
      </c>
      <c r="V47" s="34"/>
      <c r="W47" s="34">
        <f t="shared" ref="W47:AD47" si="55">W44/W10</f>
        <v>0.19569708972751118</v>
      </c>
      <c r="X47" s="34">
        <f t="shared" si="55"/>
        <v>0.23967253532647331</v>
      </c>
      <c r="Y47" s="34">
        <f t="shared" si="55"/>
        <v>0.25379991135304047</v>
      </c>
      <c r="Z47" s="34">
        <f t="shared" si="55"/>
        <v>0.3098731427304306</v>
      </c>
      <c r="AA47" s="34">
        <f t="shared" si="55"/>
        <v>0.24671491580285501</v>
      </c>
      <c r="AB47" s="34">
        <f t="shared" si="55"/>
        <v>0.2731665171312963</v>
      </c>
      <c r="AC47" s="34">
        <f t="shared" si="55"/>
        <v>0.25887789889410917</v>
      </c>
      <c r="AD47" s="34">
        <f t="shared" si="55"/>
        <v>0.25983354655245006</v>
      </c>
      <c r="AE47" s="34">
        <f>AE44/AE10</f>
        <v>0.27498895323788325</v>
      </c>
      <c r="AF47" s="34">
        <f>AF44/AF10</f>
        <v>0.29672183847587286</v>
      </c>
      <c r="AG47" s="77">
        <f t="shared" ref="AG47:AL47" si="56">AG44/AG10</f>
        <v>0.29158185354404387</v>
      </c>
      <c r="AH47" s="77">
        <f t="shared" si="56"/>
        <v>0.29158185354404381</v>
      </c>
      <c r="AI47" s="77">
        <f t="shared" si="56"/>
        <v>0.29158185354404376</v>
      </c>
      <c r="AJ47" s="77">
        <f t="shared" si="56"/>
        <v>0.29158185354404381</v>
      </c>
      <c r="AK47" s="77">
        <f t="shared" si="56"/>
        <v>0.29158185354404376</v>
      </c>
      <c r="AL47" s="77">
        <f t="shared" si="56"/>
        <v>0.28947448993462871</v>
      </c>
    </row>
    <row r="48" spans="1:38" x14ac:dyDescent="0.25">
      <c r="A48" s="5"/>
      <c r="C48" s="7"/>
      <c r="D48" s="7"/>
      <c r="E48" s="6"/>
      <c r="F48" s="6"/>
      <c r="G48" s="6"/>
      <c r="H48" s="6"/>
      <c r="I48" s="6"/>
      <c r="J48" s="6"/>
      <c r="K48" s="86" t="s">
        <v>23</v>
      </c>
      <c r="L48" s="86"/>
      <c r="M48" s="77">
        <f t="shared" si="52"/>
        <v>0.24153628601649507</v>
      </c>
      <c r="T48" s="69" t="s">
        <v>77</v>
      </c>
      <c r="V48" s="34">
        <f t="shared" ref="V48:AE48" si="57">V44/V37</f>
        <v>0.12142764365579739</v>
      </c>
      <c r="W48" s="34">
        <f t="shared" si="57"/>
        <v>8.2831112608110921E-2</v>
      </c>
      <c r="X48" s="34">
        <f t="shared" si="57"/>
        <v>0.10682481380493297</v>
      </c>
      <c r="Y48" s="34">
        <f t="shared" si="57"/>
        <v>0.11790566496164023</v>
      </c>
      <c r="Z48" s="34">
        <f t="shared" si="57"/>
        <v>0.1739810326413487</v>
      </c>
      <c r="AA48" s="34">
        <f t="shared" si="57"/>
        <v>0.16674326705443304</v>
      </c>
      <c r="AB48" s="34">
        <f t="shared" si="57"/>
        <v>0.1879507084845502</v>
      </c>
      <c r="AC48" s="34">
        <f t="shared" si="57"/>
        <v>0.18977766970519555</v>
      </c>
      <c r="AD48" s="34">
        <f t="shared" si="57"/>
        <v>0.18807858094799898</v>
      </c>
      <c r="AE48" s="34">
        <f t="shared" si="57"/>
        <v>0.19873862426412844</v>
      </c>
      <c r="AF48" s="34">
        <f>AF44/AF37</f>
        <v>0.23305536122478113</v>
      </c>
      <c r="AG48" s="77">
        <f>AG44/AG37</f>
        <v>0.23305536122478107</v>
      </c>
      <c r="AH48" s="77">
        <f t="shared" ref="AH48:AL48" si="58">AH44/AH37</f>
        <v>0.23305536122478107</v>
      </c>
      <c r="AI48" s="77">
        <f t="shared" si="58"/>
        <v>0.23305536122478107</v>
      </c>
      <c r="AJ48" s="77">
        <f t="shared" si="58"/>
        <v>0.23305536122478104</v>
      </c>
      <c r="AK48" s="77">
        <f t="shared" si="58"/>
        <v>0.23305536122478104</v>
      </c>
      <c r="AL48" s="77">
        <f t="shared" si="58"/>
        <v>0.23305536122478107</v>
      </c>
    </row>
    <row r="49" spans="1:38" x14ac:dyDescent="0.25">
      <c r="A49" s="5"/>
      <c r="C49" s="6"/>
      <c r="D49" s="6"/>
      <c r="E49" s="6"/>
      <c r="F49" s="6"/>
      <c r="G49" s="6"/>
      <c r="H49" s="6"/>
      <c r="I49" s="6"/>
      <c r="J49" s="6"/>
      <c r="K49" s="86" t="s">
        <v>24</v>
      </c>
      <c r="L49" s="86"/>
      <c r="M49" s="77">
        <f t="shared" si="52"/>
        <v>0.16727566564005861</v>
      </c>
      <c r="T49" s="69" t="s">
        <v>78</v>
      </c>
      <c r="U49" s="16"/>
      <c r="W49" s="24">
        <f t="shared" ref="W49:AL49" si="59">W37/W10</f>
        <v>2.3626036590066071</v>
      </c>
      <c r="X49" s="24">
        <f t="shared" si="59"/>
        <v>2.2436035859994701</v>
      </c>
      <c r="Y49" s="24">
        <f t="shared" si="59"/>
        <v>2.1525675754054094</v>
      </c>
      <c r="Z49" s="24">
        <f t="shared" si="59"/>
        <v>1.781074281638592</v>
      </c>
      <c r="AA49" s="24">
        <f t="shared" si="59"/>
        <v>1.4796094628655403</v>
      </c>
      <c r="AB49" s="24">
        <f t="shared" si="59"/>
        <v>1.4533944529065235</v>
      </c>
      <c r="AC49" s="24">
        <f t="shared" si="59"/>
        <v>1.3641114852777743</v>
      </c>
      <c r="AD49" s="24">
        <f t="shared" si="59"/>
        <v>1.3815158815149202</v>
      </c>
      <c r="AE49" s="24">
        <f t="shared" si="59"/>
        <v>1.383671413929163</v>
      </c>
      <c r="AF49" s="24">
        <f>AF37/AF10</f>
        <v>1.2731817749933059</v>
      </c>
      <c r="AG49" s="75">
        <f t="shared" si="59"/>
        <v>1.2511269940828103</v>
      </c>
      <c r="AH49" s="75">
        <f t="shared" si="59"/>
        <v>1.25112699408281</v>
      </c>
      <c r="AI49" s="75">
        <f t="shared" si="59"/>
        <v>1.2511269940828098</v>
      </c>
      <c r="AJ49" s="75">
        <f t="shared" si="59"/>
        <v>1.25112699408281</v>
      </c>
      <c r="AK49" s="75">
        <f t="shared" si="59"/>
        <v>1.25112699408281</v>
      </c>
      <c r="AL49" s="75">
        <f t="shared" si="59"/>
        <v>1.2420846635466651</v>
      </c>
    </row>
    <row r="50" spans="1:38" x14ac:dyDescent="0.25">
      <c r="A50" s="5"/>
      <c r="C50" s="7"/>
      <c r="D50" s="7"/>
      <c r="E50" s="7"/>
      <c r="F50" s="6"/>
      <c r="G50" s="55"/>
      <c r="H50" s="7"/>
      <c r="I50" s="7"/>
      <c r="J50" s="7"/>
      <c r="K50" s="86" t="s">
        <v>25</v>
      </c>
      <c r="L50" s="86"/>
      <c r="M50" s="77">
        <f t="shared" si="52"/>
        <v>9.9253784704037035E-2</v>
      </c>
      <c r="T50" t="s">
        <v>79</v>
      </c>
      <c r="V50" s="36"/>
      <c r="W50" s="36">
        <f t="shared" ref="W50:AL50" si="60">W15/W19</f>
        <v>1.4750638100936817</v>
      </c>
      <c r="X50" s="36">
        <f t="shared" si="60"/>
        <v>2.53697172864663</v>
      </c>
      <c r="Y50" s="36">
        <f t="shared" si="60"/>
        <v>2.969161325381469</v>
      </c>
      <c r="Z50" s="36">
        <f t="shared" si="60"/>
        <v>2.7406422268218611</v>
      </c>
      <c r="AA50" s="36">
        <f t="shared" si="60"/>
        <v>2.4245528604873963</v>
      </c>
      <c r="AB50" s="36">
        <f t="shared" si="60"/>
        <v>1.815737970316432</v>
      </c>
      <c r="AC50" s="36">
        <f t="shared" si="60"/>
        <v>1.6332498650680907</v>
      </c>
      <c r="AD50" s="36">
        <f t="shared" si="60"/>
        <v>1.4904114781914395</v>
      </c>
      <c r="AE50" s="36">
        <f t="shared" si="60"/>
        <v>1.181243419389806</v>
      </c>
      <c r="AF50" s="36">
        <f t="shared" si="60"/>
        <v>0.99657262410735969</v>
      </c>
      <c r="AG50" s="79">
        <f t="shared" si="60"/>
        <v>0.92719529365251419</v>
      </c>
      <c r="AH50" s="79">
        <f t="shared" si="60"/>
        <v>0.92719529365251396</v>
      </c>
      <c r="AI50" s="79">
        <f t="shared" si="60"/>
        <v>0.92719529365251396</v>
      </c>
      <c r="AJ50" s="79">
        <f t="shared" si="60"/>
        <v>0.92719529365251396</v>
      </c>
      <c r="AK50" s="79">
        <f t="shared" si="60"/>
        <v>0.92719529365251374</v>
      </c>
      <c r="AL50" s="79">
        <f t="shared" si="60"/>
        <v>0.92719529365251374</v>
      </c>
    </row>
    <row r="51" spans="1:38" x14ac:dyDescent="0.25">
      <c r="A51" s="5"/>
      <c r="C51" s="7"/>
      <c r="D51" s="6"/>
      <c r="E51" s="6"/>
      <c r="F51" s="7"/>
      <c r="G51" s="55"/>
      <c r="H51" s="7"/>
      <c r="I51" s="56"/>
      <c r="J51" s="7"/>
      <c r="K51" s="86" t="s">
        <v>19</v>
      </c>
      <c r="L51" s="86"/>
      <c r="M51" s="77">
        <f t="shared" si="52"/>
        <v>3.3087064640421313E-3</v>
      </c>
      <c r="T51" t="s">
        <v>80</v>
      </c>
      <c r="V51" s="34"/>
      <c r="W51" s="34">
        <f t="shared" ref="W51:AD51" si="61">W47-((W38-W40)/W15)</f>
        <v>0.14346307378076176</v>
      </c>
      <c r="X51" s="34">
        <f t="shared" si="61"/>
        <v>0.20824566658015198</v>
      </c>
      <c r="Y51" s="34">
        <f t="shared" si="61"/>
        <v>0.21431288511796412</v>
      </c>
      <c r="Z51" s="34">
        <f t="shared" si="61"/>
        <v>0.25435394344195505</v>
      </c>
      <c r="AA51" s="34">
        <f t="shared" si="61"/>
        <v>0.19909853174780517</v>
      </c>
      <c r="AB51" s="34">
        <f t="shared" si="61"/>
        <v>0.20318799846231195</v>
      </c>
      <c r="AC51" s="34">
        <f t="shared" si="61"/>
        <v>0.20370749135897856</v>
      </c>
      <c r="AD51" s="34">
        <f t="shared" si="61"/>
        <v>0.1900814472034244</v>
      </c>
      <c r="AE51" s="34">
        <f>AE47-((AE38-AE40)/AE15)</f>
        <v>0.19326236513865702</v>
      </c>
      <c r="AF51" s="34">
        <f>AF47-((AF38-AF40)/AF15)</f>
        <v>0.20803121834720475</v>
      </c>
      <c r="AG51" s="77">
        <f t="shared" ref="AG51:AL51" si="62">AG47-((AG38-AG40)/AG15)</f>
        <v>0.20116132913317022</v>
      </c>
      <c r="AH51" s="77">
        <f t="shared" si="62"/>
        <v>0.20116132913317009</v>
      </c>
      <c r="AI51" s="77">
        <f t="shared" si="62"/>
        <v>0.20116132913317009</v>
      </c>
      <c r="AJ51" s="77">
        <f t="shared" si="62"/>
        <v>0.20116132913317003</v>
      </c>
      <c r="AK51" s="77">
        <f t="shared" si="62"/>
        <v>0.20116132913316997</v>
      </c>
      <c r="AL51" s="77">
        <f t="shared" si="62"/>
        <v>0.19970746614586748</v>
      </c>
    </row>
    <row r="52" spans="1:38" x14ac:dyDescent="0.25">
      <c r="A52" s="5"/>
      <c r="C52" s="7"/>
      <c r="D52" s="7"/>
      <c r="E52" s="7"/>
      <c r="F52" s="7"/>
      <c r="G52" s="6"/>
      <c r="H52" s="6"/>
      <c r="I52" s="6"/>
      <c r="J52" s="7"/>
      <c r="K52" s="87" t="s">
        <v>26</v>
      </c>
      <c r="L52" s="87"/>
      <c r="M52" s="77"/>
      <c r="AG52" s="68"/>
      <c r="AH52" s="68"/>
      <c r="AI52" s="68"/>
      <c r="AJ52" s="68"/>
      <c r="AK52" s="68"/>
      <c r="AL52" s="68"/>
    </row>
    <row r="53" spans="1:38" x14ac:dyDescent="0.25">
      <c r="A53" s="5"/>
      <c r="C53" s="7"/>
      <c r="D53" s="6"/>
      <c r="E53" s="6"/>
      <c r="F53" s="6"/>
      <c r="G53" s="6"/>
      <c r="H53" s="6"/>
      <c r="I53" s="6"/>
      <c r="J53" s="6"/>
      <c r="K53" s="86" t="s">
        <v>27</v>
      </c>
      <c r="L53" s="86"/>
      <c r="M53" s="77">
        <f t="shared" si="52"/>
        <v>0.10347703852337693</v>
      </c>
      <c r="T53" t="s">
        <v>81</v>
      </c>
      <c r="V53" s="34"/>
      <c r="W53" s="34">
        <f t="shared" ref="W53:AE53" si="63">W47+(W50*W51)</f>
        <v>0.40731427794631259</v>
      </c>
      <c r="X53" s="34">
        <f t="shared" si="63"/>
        <v>0.76798590405349132</v>
      </c>
      <c r="Y53" s="34">
        <f t="shared" si="63"/>
        <v>0.8901294413762213</v>
      </c>
      <c r="Z53" s="34">
        <f t="shared" si="63"/>
        <v>1.006966300686112</v>
      </c>
      <c r="AA53" s="34">
        <f t="shared" si="63"/>
        <v>0.72943983047083671</v>
      </c>
      <c r="AB53" s="34">
        <f t="shared" si="63"/>
        <v>0.64210268105191293</v>
      </c>
      <c r="AC53" s="34">
        <f t="shared" si="63"/>
        <v>0.59158313166952015</v>
      </c>
      <c r="AD53" s="34">
        <f t="shared" si="63"/>
        <v>0.54313311725567393</v>
      </c>
      <c r="AE53" s="34">
        <f t="shared" si="63"/>
        <v>0.50327885027363173</v>
      </c>
      <c r="AF53" s="34">
        <f>AF47+(AF50*AF51)</f>
        <v>0.50404005564039778</v>
      </c>
      <c r="AG53" s="77">
        <f t="shared" ref="AG53:AL53" si="64">AG47+(AG50*AG51)</f>
        <v>0.47809769118120371</v>
      </c>
      <c r="AH53" s="77">
        <f t="shared" si="64"/>
        <v>0.47809769118120349</v>
      </c>
      <c r="AI53" s="77">
        <f t="shared" si="64"/>
        <v>0.47809769118120338</v>
      </c>
      <c r="AJ53" s="77">
        <f t="shared" si="64"/>
        <v>0.47809769118120338</v>
      </c>
      <c r="AK53" s="77">
        <f t="shared" si="64"/>
        <v>0.47809769118120327</v>
      </c>
      <c r="AL53" s="77">
        <f t="shared" si="64"/>
        <v>0.4746423126523458</v>
      </c>
    </row>
    <row r="54" spans="1:38" x14ac:dyDescent="0.25">
      <c r="A54" s="5"/>
      <c r="C54" s="6"/>
      <c r="D54" s="7"/>
      <c r="E54" s="7"/>
      <c r="F54" s="7"/>
      <c r="G54" s="7"/>
      <c r="H54" s="7"/>
      <c r="I54" s="7"/>
      <c r="J54" s="7"/>
      <c r="K54" s="86" t="s">
        <v>28</v>
      </c>
      <c r="L54" s="86"/>
      <c r="M54" s="77">
        <f t="shared" si="52"/>
        <v>7.2069455966173979E-2</v>
      </c>
    </row>
    <row r="55" spans="1:38" x14ac:dyDescent="0.25">
      <c r="A55" s="5"/>
      <c r="C55" s="6"/>
      <c r="D55" s="6"/>
      <c r="E55" s="7"/>
      <c r="F55" s="7"/>
      <c r="G55" s="7"/>
      <c r="H55" s="7"/>
      <c r="I55" s="7"/>
      <c r="J55" s="7"/>
      <c r="K55" s="86" t="s">
        <v>29</v>
      </c>
      <c r="L55" s="86"/>
      <c r="M55" s="77">
        <f t="shared" si="52"/>
        <v>4.5558651854540463E-3</v>
      </c>
    </row>
    <row r="56" spans="1:38" x14ac:dyDescent="0.25">
      <c r="A56" s="5"/>
      <c r="C56" s="7"/>
      <c r="D56" s="7"/>
      <c r="E56" s="7"/>
      <c r="F56" s="7"/>
      <c r="G56" s="7"/>
      <c r="H56" s="7"/>
      <c r="I56" s="7"/>
      <c r="J56" s="7"/>
      <c r="K56" s="86" t="s">
        <v>30</v>
      </c>
      <c r="L56" s="86"/>
      <c r="M56" s="77">
        <f t="shared" si="52"/>
        <v>0.11667071198024899</v>
      </c>
    </row>
    <row r="57" spans="1:38" x14ac:dyDescent="0.25">
      <c r="A57" s="5"/>
      <c r="C57" s="6"/>
      <c r="D57" s="6"/>
      <c r="E57" s="6"/>
      <c r="F57" s="6"/>
      <c r="G57" s="6"/>
      <c r="H57" s="6"/>
      <c r="I57" s="6"/>
      <c r="J57" s="6"/>
      <c r="K57" s="86" t="s">
        <v>31</v>
      </c>
      <c r="L57" s="86"/>
      <c r="M57" s="77">
        <f t="shared" si="52"/>
        <v>5.400382047805876E-2</v>
      </c>
    </row>
    <row r="58" spans="1:38" x14ac:dyDescent="0.25">
      <c r="A58" s="5"/>
      <c r="C58" s="6"/>
      <c r="D58" s="7"/>
      <c r="E58" s="7"/>
      <c r="F58" s="7"/>
      <c r="G58" s="7"/>
      <c r="H58" s="7"/>
      <c r="I58" s="7"/>
      <c r="J58" s="7"/>
      <c r="K58" s="87" t="s">
        <v>32</v>
      </c>
      <c r="L58" s="87"/>
      <c r="M58" s="77"/>
    </row>
    <row r="59" spans="1:38" x14ac:dyDescent="0.25">
      <c r="A59" s="5"/>
      <c r="C59" s="6"/>
      <c r="D59" s="7"/>
      <c r="E59" s="7"/>
      <c r="F59" s="7"/>
      <c r="G59" s="7"/>
      <c r="H59" s="7"/>
      <c r="I59" s="7"/>
      <c r="J59" s="7"/>
      <c r="K59" s="86" t="s">
        <v>33</v>
      </c>
      <c r="L59" s="86"/>
      <c r="M59" s="77">
        <f t="shared" si="52"/>
        <v>0.28478263722249691</v>
      </c>
    </row>
    <row r="60" spans="1:38" x14ac:dyDescent="0.25">
      <c r="A60" s="5"/>
      <c r="C60" s="7"/>
      <c r="D60" s="6"/>
      <c r="E60" s="6"/>
      <c r="F60" s="6"/>
      <c r="G60" s="6"/>
      <c r="H60" s="6"/>
      <c r="I60" s="6"/>
      <c r="J60" s="6"/>
      <c r="K60" s="86" t="s">
        <v>34</v>
      </c>
      <c r="L60" s="86"/>
      <c r="M60" s="77">
        <f t="shared" si="52"/>
        <v>6.1439282402136065E-2</v>
      </c>
    </row>
    <row r="61" spans="1:38" x14ac:dyDescent="0.25">
      <c r="A61" s="5"/>
      <c r="C61" s="6"/>
      <c r="D61" s="6"/>
      <c r="E61" s="6"/>
      <c r="F61" s="6"/>
      <c r="G61" s="6"/>
      <c r="H61" s="6"/>
      <c r="I61" s="6"/>
      <c r="J61" s="6"/>
      <c r="K61" s="86" t="s">
        <v>19</v>
      </c>
      <c r="L61" s="86"/>
      <c r="M61" s="77">
        <f t="shared" si="52"/>
        <v>3.7871187277070714E-2</v>
      </c>
    </row>
    <row r="62" spans="1:38" x14ac:dyDescent="0.25">
      <c r="A62" s="5"/>
      <c r="C62" s="7"/>
      <c r="D62" s="6"/>
      <c r="E62" s="7"/>
      <c r="F62" s="7"/>
      <c r="G62" s="7"/>
      <c r="H62" s="7"/>
      <c r="I62" s="7"/>
      <c r="J62" s="7"/>
      <c r="K62" s="87" t="s">
        <v>35</v>
      </c>
      <c r="L62" s="87"/>
      <c r="M62" s="77"/>
    </row>
    <row r="63" spans="1:38" x14ac:dyDescent="0.25">
      <c r="A63" s="5"/>
      <c r="C63" s="6"/>
      <c r="D63" s="6"/>
      <c r="E63" s="6"/>
      <c r="F63" s="6"/>
      <c r="G63" s="6"/>
      <c r="H63" s="6"/>
      <c r="I63" s="6"/>
      <c r="J63" s="6"/>
      <c r="K63" s="86" t="s">
        <v>36</v>
      </c>
      <c r="L63" s="86"/>
      <c r="M63" s="77"/>
    </row>
    <row r="64" spans="1:38" x14ac:dyDescent="0.25">
      <c r="A64" s="5"/>
      <c r="C64" s="6"/>
      <c r="D64" s="6"/>
      <c r="E64" s="6"/>
      <c r="F64" s="6"/>
      <c r="G64" s="6"/>
      <c r="H64" s="6"/>
      <c r="I64" s="6"/>
      <c r="J64" s="6"/>
      <c r="K64" s="86" t="s">
        <v>37</v>
      </c>
      <c r="L64" s="86"/>
      <c r="M64" s="77"/>
    </row>
    <row r="65" spans="1:13" x14ac:dyDescent="0.25">
      <c r="A65" s="5"/>
      <c r="C65" s="6"/>
      <c r="D65" s="6"/>
      <c r="E65" s="6"/>
      <c r="F65" s="6"/>
      <c r="G65" s="6"/>
      <c r="H65" s="6"/>
      <c r="I65" s="6"/>
      <c r="J65" s="6"/>
      <c r="K65" s="86" t="s">
        <v>38</v>
      </c>
      <c r="L65" s="86"/>
      <c r="M65" s="77">
        <f t="shared" si="52"/>
        <v>0.12294176631989447</v>
      </c>
    </row>
    <row r="66" spans="1:13" x14ac:dyDescent="0.25">
      <c r="A66" s="5"/>
      <c r="C66" s="7"/>
      <c r="D66" s="6"/>
      <c r="E66" s="6"/>
      <c r="F66" s="6"/>
      <c r="G66" s="6"/>
      <c r="H66" s="6"/>
      <c r="I66" s="6"/>
      <c r="J66" s="6"/>
      <c r="K66" s="86" t="s">
        <v>39</v>
      </c>
      <c r="L66" s="86"/>
      <c r="M66" s="77">
        <f t="shared" si="52"/>
        <v>0.5086754345974559</v>
      </c>
    </row>
    <row r="67" spans="1:13" x14ac:dyDescent="0.25">
      <c r="A67" s="5"/>
      <c r="C67" s="7"/>
      <c r="D67" s="7"/>
      <c r="E67" s="7"/>
      <c r="F67" s="7"/>
      <c r="G67" s="7"/>
      <c r="H67" s="7"/>
      <c r="I67" s="7"/>
      <c r="J67" s="7"/>
      <c r="K67" s="86" t="s">
        <v>40</v>
      </c>
      <c r="L67" s="86"/>
      <c r="M67" s="77">
        <f t="shared" si="52"/>
        <v>-0.20340095568190106</v>
      </c>
    </row>
    <row r="68" spans="1:13" x14ac:dyDescent="0.25">
      <c r="A68" s="5"/>
      <c r="C68" s="7"/>
      <c r="D68" s="7"/>
      <c r="E68" s="7"/>
      <c r="F68" s="7"/>
      <c r="G68" s="6"/>
      <c r="H68" s="6"/>
      <c r="I68" s="6"/>
      <c r="J68" s="6"/>
      <c r="K68" s="86" t="s">
        <v>41</v>
      </c>
      <c r="L68" s="86"/>
      <c r="M68" s="77">
        <f t="shared" si="52"/>
        <v>-2.7127554495015874E-2</v>
      </c>
    </row>
    <row r="69" spans="1:13" x14ac:dyDescent="0.25">
      <c r="A69" s="5"/>
      <c r="C69" s="7"/>
      <c r="D69" s="7"/>
      <c r="E69" s="6"/>
      <c r="F69" s="7"/>
      <c r="G69" s="7"/>
      <c r="H69" s="7"/>
      <c r="I69" s="7"/>
      <c r="J69" s="7"/>
      <c r="K69" s="87" t="s">
        <v>42</v>
      </c>
      <c r="L69" s="87"/>
      <c r="M69" s="77"/>
    </row>
    <row r="70" spans="1:13" x14ac:dyDescent="0.25">
      <c r="A70" s="5"/>
      <c r="C70" s="7"/>
      <c r="D70" s="6"/>
      <c r="E70" s="7"/>
      <c r="F70" s="7"/>
      <c r="G70" s="7"/>
      <c r="H70" s="7"/>
      <c r="I70" s="7"/>
      <c r="J70" s="7"/>
      <c r="K70" s="86" t="s">
        <v>43</v>
      </c>
      <c r="L70" s="86"/>
      <c r="M70" s="77">
        <f t="shared" si="52"/>
        <v>0</v>
      </c>
    </row>
    <row r="71" spans="1:13" x14ac:dyDescent="0.25">
      <c r="A71" s="5"/>
      <c r="C71" s="7"/>
      <c r="D71" s="6"/>
      <c r="E71" s="6"/>
      <c r="F71" s="6"/>
      <c r="G71" s="6"/>
      <c r="H71" s="6"/>
      <c r="I71" s="6"/>
      <c r="J71" s="6"/>
      <c r="K71" s="87" t="s">
        <v>44</v>
      </c>
      <c r="L71" s="87"/>
      <c r="M71" s="77"/>
    </row>
    <row r="72" spans="1:13" x14ac:dyDescent="0.25">
      <c r="A72" s="5"/>
      <c r="C72" s="7"/>
      <c r="D72" s="6"/>
      <c r="E72" s="6"/>
      <c r="F72" s="6"/>
      <c r="G72" s="6"/>
      <c r="H72" s="6"/>
      <c r="I72" s="6"/>
      <c r="J72" s="6"/>
      <c r="K72" s="6"/>
      <c r="L72" s="7"/>
    </row>
    <row r="73" spans="1:13" x14ac:dyDescent="0.25">
      <c r="A73" s="5"/>
      <c r="C73" s="6"/>
      <c r="D73" s="6"/>
      <c r="E73" s="6"/>
      <c r="F73" s="6"/>
      <c r="G73" s="6"/>
      <c r="H73" s="6"/>
      <c r="I73" s="6"/>
      <c r="J73" s="6"/>
      <c r="K73" s="6"/>
      <c r="L73" s="7"/>
    </row>
    <row r="74" spans="1:13" x14ac:dyDescent="0.25">
      <c r="A74" s="5"/>
      <c r="C74" s="6"/>
      <c r="D74" s="6"/>
      <c r="E74" s="6"/>
      <c r="F74" s="6"/>
      <c r="G74" s="6"/>
      <c r="H74" s="6"/>
      <c r="I74" s="6"/>
      <c r="J74" s="6"/>
      <c r="K74" s="6"/>
      <c r="L74" s="7"/>
    </row>
    <row r="75" spans="1:13" x14ac:dyDescent="0.25">
      <c r="A75" s="5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3" x14ac:dyDescent="0.25">
      <c r="A76" s="5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3" x14ac:dyDescent="0.25">
      <c r="A77" s="5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3" x14ac:dyDescent="0.25">
      <c r="A78" s="5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3" x14ac:dyDescent="0.25">
      <c r="A79" s="5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3" x14ac:dyDescent="0.25">
      <c r="A80" s="5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x14ac:dyDescent="0.25">
      <c r="A81" s="5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x14ac:dyDescent="0.25">
      <c r="A82" s="5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x14ac:dyDescent="0.25">
      <c r="A83" s="5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x14ac:dyDescent="0.25">
      <c r="A84" s="5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x14ac:dyDescent="0.25">
      <c r="A85" s="5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x14ac:dyDescent="0.25">
      <c r="A86" s="5"/>
      <c r="C86" s="7"/>
      <c r="D86" s="7"/>
      <c r="E86" s="7"/>
      <c r="F86" s="6"/>
      <c r="G86" s="6"/>
      <c r="H86" s="6"/>
      <c r="I86" s="6"/>
      <c r="J86" s="6"/>
      <c r="K86" s="7"/>
      <c r="L86" s="7"/>
    </row>
    <row r="87" spans="1:12" x14ac:dyDescent="0.25">
      <c r="A87" s="5"/>
      <c r="C87" s="7"/>
      <c r="D87" s="7"/>
      <c r="E87" s="7"/>
      <c r="F87" s="6"/>
      <c r="G87" s="6"/>
      <c r="H87" s="6"/>
      <c r="I87" s="6"/>
      <c r="J87" s="6"/>
      <c r="K87" s="6"/>
      <c r="L87" s="7"/>
    </row>
    <row r="88" spans="1:12" x14ac:dyDescent="0.25">
      <c r="A88" s="5"/>
      <c r="C88" s="6"/>
      <c r="D88" s="6"/>
      <c r="E88" s="6"/>
      <c r="F88" s="6"/>
      <c r="G88" s="6"/>
      <c r="H88" s="6"/>
      <c r="I88" s="6"/>
      <c r="J88" s="6"/>
      <c r="K88" s="6"/>
      <c r="L88" s="7"/>
    </row>
    <row r="89" spans="1:12" x14ac:dyDescent="0.25">
      <c r="A89" s="5"/>
      <c r="C89" s="6"/>
      <c r="D89" s="6"/>
      <c r="E89" s="6"/>
      <c r="F89" s="6"/>
      <c r="G89" s="6"/>
      <c r="H89" s="6"/>
      <c r="I89" s="6"/>
      <c r="J89" s="6"/>
      <c r="K89" s="6"/>
      <c r="L89" s="7"/>
    </row>
    <row r="90" spans="1:12" x14ac:dyDescent="0.25">
      <c r="A90" s="5"/>
      <c r="C90" s="6"/>
      <c r="D90" s="6"/>
      <c r="E90" s="7"/>
      <c r="F90" s="7"/>
      <c r="G90" s="7"/>
      <c r="H90" s="7"/>
      <c r="I90" s="7"/>
      <c r="J90" s="7"/>
      <c r="K90" s="7"/>
      <c r="L90" s="6"/>
    </row>
    <row r="91" spans="1:12" x14ac:dyDescent="0.25">
      <c r="A91" s="5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A92" s="5"/>
      <c r="C92" s="7"/>
      <c r="D92" s="7"/>
      <c r="E92" s="6"/>
      <c r="F92" s="6"/>
      <c r="G92" s="6"/>
      <c r="H92" s="6"/>
      <c r="I92" s="6"/>
      <c r="J92" s="6"/>
      <c r="K92" s="6"/>
      <c r="L92" s="7"/>
    </row>
    <row r="93" spans="1:12" x14ac:dyDescent="0.25">
      <c r="A93" s="5"/>
      <c r="C93" s="8"/>
      <c r="D93" s="9"/>
      <c r="E93" s="8"/>
      <c r="F93" s="8"/>
      <c r="G93" s="8"/>
      <c r="H93" s="8"/>
      <c r="I93" s="8"/>
      <c r="J93" s="8"/>
      <c r="K93" s="8"/>
      <c r="L93" s="8"/>
    </row>
    <row r="94" spans="1:12" x14ac:dyDescent="0.25">
      <c r="A94" s="5"/>
      <c r="C94" s="9"/>
      <c r="D94" s="10"/>
      <c r="E94" s="9"/>
      <c r="F94" s="9"/>
      <c r="G94" s="9"/>
      <c r="H94" s="9"/>
      <c r="I94" s="10"/>
      <c r="J94" s="9"/>
      <c r="K94" s="9"/>
      <c r="L94" s="7"/>
    </row>
    <row r="95" spans="1:12" x14ac:dyDescent="0.25">
      <c r="A95" s="5"/>
      <c r="C95" s="9"/>
      <c r="D95" s="9"/>
      <c r="E95" s="9"/>
      <c r="F95" s="9"/>
      <c r="G95" s="9"/>
      <c r="H95" s="9"/>
      <c r="I95" s="9"/>
      <c r="J95" s="9"/>
      <c r="K95" s="9"/>
      <c r="L95" s="7"/>
    </row>
    <row r="96" spans="1:12" x14ac:dyDescent="0.25">
      <c r="A96" s="5"/>
      <c r="C96" s="7"/>
      <c r="D96" s="7"/>
      <c r="E96" s="7"/>
      <c r="F96" s="7"/>
      <c r="G96" s="7"/>
      <c r="H96" s="7"/>
      <c r="I96" s="7"/>
      <c r="J96" s="7"/>
      <c r="K96" s="7"/>
      <c r="L96" s="8"/>
    </row>
    <row r="97" spans="1:12" x14ac:dyDescent="0.25">
      <c r="A97" s="5"/>
      <c r="C97" s="9"/>
      <c r="D97" s="9"/>
      <c r="E97" s="9"/>
      <c r="F97" s="9"/>
      <c r="G97" s="9"/>
      <c r="H97" s="9"/>
      <c r="I97" s="9"/>
      <c r="J97" s="9"/>
      <c r="K97" s="9"/>
      <c r="L97" s="7"/>
    </row>
    <row r="98" spans="1:12" x14ac:dyDescent="0.25">
      <c r="A98" s="5"/>
      <c r="C98" s="9"/>
      <c r="D98" s="9"/>
      <c r="E98" s="9"/>
      <c r="F98" s="9"/>
      <c r="G98" s="9"/>
      <c r="H98" s="10"/>
      <c r="I98" s="9"/>
      <c r="J98" s="9"/>
      <c r="K98" s="9"/>
      <c r="L98" s="7"/>
    </row>
    <row r="99" spans="1:12" x14ac:dyDescent="0.25">
      <c r="A99" s="5"/>
      <c r="C99" s="9"/>
      <c r="D99" s="8"/>
      <c r="E99" s="8"/>
      <c r="F99" s="8"/>
      <c r="G99" s="8"/>
      <c r="H99" s="9"/>
      <c r="I99" s="8"/>
      <c r="J99" s="9"/>
      <c r="K99" s="8"/>
      <c r="L99" s="7"/>
    </row>
    <row r="100" spans="1:12" x14ac:dyDescent="0.25">
      <c r="A100" s="5"/>
      <c r="C100" s="8"/>
      <c r="D100" s="8"/>
      <c r="E100" s="8"/>
      <c r="F100" s="8"/>
      <c r="G100" s="8"/>
      <c r="H100" s="8"/>
      <c r="I100" s="8"/>
      <c r="J100" s="10"/>
      <c r="K100" s="8"/>
      <c r="L100" s="7"/>
    </row>
    <row r="101" spans="1:12" x14ac:dyDescent="0.25">
      <c r="A101" s="5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 x14ac:dyDescent="0.25">
      <c r="A102" s="5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x14ac:dyDescent="0.25">
      <c r="A103" s="5"/>
      <c r="C103" s="6"/>
      <c r="D103" s="6"/>
      <c r="E103" s="7"/>
      <c r="F103" s="7"/>
      <c r="G103" s="7"/>
      <c r="H103" s="7"/>
      <c r="I103" s="7"/>
      <c r="J103" s="7"/>
      <c r="K103" s="7"/>
      <c r="L103" s="6"/>
    </row>
    <row r="104" spans="1:12" x14ac:dyDescent="0.25">
      <c r="A104" s="5"/>
      <c r="C104" s="7"/>
      <c r="D104" s="6"/>
      <c r="E104" s="6"/>
      <c r="F104" s="6"/>
      <c r="G104" s="6"/>
      <c r="H104" s="6"/>
      <c r="I104" s="6"/>
      <c r="J104" s="6"/>
      <c r="K104" s="6"/>
      <c r="L104" s="6"/>
    </row>
    <row r="105" spans="1:12" x14ac:dyDescent="0.25">
      <c r="A105" s="5"/>
      <c r="C105" s="7"/>
      <c r="D105" s="6"/>
      <c r="E105" s="6"/>
      <c r="F105" s="6"/>
      <c r="G105" s="6"/>
      <c r="H105" s="6"/>
      <c r="I105" s="6"/>
      <c r="J105" s="6"/>
      <c r="K105" s="6"/>
      <c r="L105" s="7"/>
    </row>
    <row r="106" spans="1:12" x14ac:dyDescent="0.25">
      <c r="A106" s="5"/>
      <c r="C106" s="6"/>
      <c r="D106" s="7"/>
      <c r="E106" s="7"/>
      <c r="F106" s="7"/>
      <c r="G106" s="7"/>
      <c r="H106" s="7"/>
      <c r="I106" s="7"/>
      <c r="J106" s="7"/>
      <c r="K106" s="7"/>
      <c r="L106" s="7"/>
    </row>
    <row r="107" spans="1:12" x14ac:dyDescent="0.25">
      <c r="A107" s="5"/>
      <c r="C107" s="7"/>
      <c r="D107" s="6"/>
      <c r="E107" s="6"/>
      <c r="F107" s="6"/>
      <c r="G107" s="6"/>
      <c r="H107" s="6"/>
      <c r="I107" s="6"/>
      <c r="J107" s="6"/>
      <c r="K107" s="6"/>
      <c r="L107" s="7"/>
    </row>
    <row r="108" spans="1:12" x14ac:dyDescent="0.25">
      <c r="A108" s="5"/>
      <c r="C108" s="7"/>
      <c r="D108" s="7"/>
      <c r="E108" s="7"/>
      <c r="F108" s="7"/>
      <c r="G108" s="7"/>
      <c r="H108" s="7"/>
      <c r="I108" s="7"/>
      <c r="J108" s="7"/>
      <c r="K108" s="7"/>
      <c r="L108" s="6"/>
    </row>
    <row r="109" spans="1:12" x14ac:dyDescent="0.25">
      <c r="A109" s="5"/>
      <c r="C109" s="7"/>
      <c r="D109" s="7"/>
      <c r="E109" s="7"/>
      <c r="F109" s="7"/>
      <c r="G109" s="7"/>
      <c r="H109" s="7"/>
      <c r="I109" s="7"/>
      <c r="J109" s="7"/>
      <c r="K109" s="7"/>
      <c r="L109" s="8"/>
    </row>
    <row r="110" spans="1:12" x14ac:dyDescent="0.25">
      <c r="A110" s="5"/>
      <c r="C110" s="7"/>
      <c r="D110" s="7"/>
      <c r="E110" s="7"/>
      <c r="F110" s="7"/>
      <c r="G110" s="7"/>
      <c r="H110" s="7"/>
      <c r="I110" s="7"/>
      <c r="J110" s="7"/>
      <c r="K110" s="7"/>
      <c r="L110" s="8"/>
    </row>
    <row r="111" spans="1:12" x14ac:dyDescent="0.25">
      <c r="A111" s="5"/>
      <c r="C111" s="7"/>
      <c r="D111" s="7"/>
      <c r="E111" s="7"/>
      <c r="F111" s="7"/>
      <c r="G111" s="7"/>
      <c r="H111" s="7"/>
      <c r="I111" s="7"/>
      <c r="J111" s="7"/>
      <c r="K111" s="7"/>
      <c r="L111" s="8"/>
    </row>
    <row r="112" spans="1:12" x14ac:dyDescent="0.25">
      <c r="A112" s="5"/>
      <c r="C112" s="7"/>
      <c r="D112" s="7"/>
      <c r="E112" s="7"/>
      <c r="F112" s="7"/>
      <c r="G112" s="7"/>
      <c r="H112" s="7"/>
      <c r="I112" s="7"/>
      <c r="J112" s="7"/>
      <c r="K112" s="7"/>
      <c r="L112" s="8"/>
    </row>
    <row r="114" spans="1:12" x14ac:dyDescent="0.25">
      <c r="A114" s="2"/>
    </row>
    <row r="115" spans="1:12" x14ac:dyDescent="0.25">
      <c r="A115" s="3"/>
      <c r="D115" s="4"/>
      <c r="E115" s="4"/>
      <c r="F115" s="4"/>
      <c r="G115" s="4"/>
      <c r="H115" s="4"/>
      <c r="I115" s="4"/>
      <c r="J115" s="4"/>
      <c r="K115" s="4"/>
      <c r="L115" s="4"/>
    </row>
    <row r="116" spans="1:12" x14ac:dyDescent="0.25">
      <c r="A116" s="3"/>
      <c r="D116" s="4"/>
      <c r="E116" s="4"/>
      <c r="F116" s="4"/>
      <c r="G116" s="4"/>
      <c r="H116" s="4"/>
      <c r="I116" s="4"/>
      <c r="J116" s="4"/>
      <c r="K116" s="4"/>
      <c r="L116" s="4"/>
    </row>
    <row r="117" spans="1:12" x14ac:dyDescent="0.25">
      <c r="A117" s="3"/>
      <c r="D117" s="4"/>
      <c r="E117" s="4"/>
      <c r="F117" s="4"/>
      <c r="G117" s="4"/>
      <c r="H117" s="4"/>
      <c r="I117" s="4"/>
      <c r="J117" s="4"/>
      <c r="K117" s="4"/>
      <c r="L117" s="4"/>
    </row>
    <row r="118" spans="1:12" x14ac:dyDescent="0.25">
      <c r="A118" s="3"/>
      <c r="D118" s="4"/>
      <c r="E118" s="4"/>
      <c r="F118" s="4"/>
      <c r="G118" s="4"/>
      <c r="H118" s="4"/>
      <c r="I118" s="4"/>
      <c r="J118" s="4"/>
      <c r="K118" s="4"/>
      <c r="L118" s="4"/>
    </row>
    <row r="119" spans="1:12" x14ac:dyDescent="0.25">
      <c r="A119" s="3"/>
      <c r="D119" s="4"/>
      <c r="E119" s="4"/>
      <c r="F119" s="4"/>
      <c r="G119" s="4"/>
      <c r="H119" s="4"/>
      <c r="I119" s="4"/>
      <c r="J119" s="4"/>
      <c r="K119" s="4"/>
      <c r="L119" s="4"/>
    </row>
    <row r="120" spans="1:12" x14ac:dyDescent="0.25">
      <c r="A120" s="5"/>
      <c r="D120" s="6"/>
      <c r="E120" s="6"/>
      <c r="F120" s="6"/>
      <c r="G120" s="6"/>
      <c r="H120" s="6"/>
      <c r="I120" s="6"/>
      <c r="J120" s="6"/>
      <c r="K120" s="6"/>
      <c r="L120" s="6"/>
    </row>
    <row r="121" spans="1:12" x14ac:dyDescent="0.25">
      <c r="A121" s="5"/>
      <c r="D121" s="6"/>
      <c r="E121" s="6"/>
      <c r="F121" s="6"/>
      <c r="G121" s="6"/>
      <c r="H121" s="6"/>
      <c r="I121" s="6"/>
      <c r="J121" s="6"/>
      <c r="K121" s="6"/>
      <c r="L121" s="6"/>
    </row>
    <row r="122" spans="1:12" x14ac:dyDescent="0.25">
      <c r="A122" s="5"/>
      <c r="D122" s="6"/>
      <c r="E122" s="6"/>
      <c r="F122" s="6"/>
      <c r="G122" s="6"/>
      <c r="H122" s="6"/>
      <c r="I122" s="6"/>
      <c r="J122" s="6"/>
      <c r="K122" s="6"/>
      <c r="L122" s="6"/>
    </row>
    <row r="123" spans="1:12" x14ac:dyDescent="0.25">
      <c r="A123" s="5"/>
      <c r="D123" s="7"/>
      <c r="E123" s="7"/>
      <c r="F123" s="7"/>
      <c r="G123" s="7"/>
      <c r="H123" s="7"/>
      <c r="I123" s="6"/>
      <c r="J123" s="7"/>
      <c r="K123" s="7"/>
      <c r="L123" s="7"/>
    </row>
    <row r="124" spans="1:12" x14ac:dyDescent="0.25">
      <c r="A124" s="5"/>
      <c r="D124" s="7"/>
      <c r="E124" s="7"/>
      <c r="F124" s="7"/>
      <c r="G124" s="7"/>
      <c r="H124" s="7"/>
      <c r="I124" s="6"/>
      <c r="J124" s="7"/>
      <c r="K124" s="7"/>
      <c r="L124" s="7"/>
    </row>
    <row r="125" spans="1:12" x14ac:dyDescent="0.25">
      <c r="A125" s="5"/>
      <c r="D125" s="7"/>
      <c r="E125" s="7"/>
      <c r="F125" s="7"/>
      <c r="G125" s="7"/>
      <c r="H125" s="6"/>
      <c r="I125" s="7"/>
      <c r="J125" s="7"/>
      <c r="K125" s="7"/>
      <c r="L125" s="7"/>
    </row>
    <row r="126" spans="1:12" x14ac:dyDescent="0.25">
      <c r="A126" s="5"/>
      <c r="D126" s="6"/>
      <c r="E126" s="6"/>
      <c r="F126" s="6"/>
      <c r="G126" s="6"/>
      <c r="H126" s="6"/>
      <c r="I126" s="6"/>
      <c r="J126" s="6"/>
      <c r="K126" s="6"/>
      <c r="L126" s="6"/>
    </row>
    <row r="128" spans="1:12" x14ac:dyDescent="0.25">
      <c r="A128" s="2"/>
    </row>
    <row r="129" spans="1:12" x14ac:dyDescent="0.25">
      <c r="A129" s="3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spans="1:12" x14ac:dyDescent="0.25">
      <c r="A130" s="3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spans="1:12" x14ac:dyDescent="0.25">
      <c r="A131" s="3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spans="1:12" x14ac:dyDescent="0.25">
      <c r="A132" s="3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spans="1:12" x14ac:dyDescent="0.25">
      <c r="A133" s="3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spans="1:12" x14ac:dyDescent="0.25">
      <c r="A134" s="5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1:12" x14ac:dyDescent="0.25">
      <c r="A135" s="5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1:12" x14ac:dyDescent="0.25">
      <c r="A136" s="5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1:12" x14ac:dyDescent="0.25">
      <c r="A137" s="5"/>
      <c r="C137" s="6"/>
      <c r="D137" s="6"/>
      <c r="E137" s="6"/>
      <c r="F137" s="7"/>
      <c r="G137" s="7"/>
      <c r="H137" s="7"/>
      <c r="I137" s="7"/>
      <c r="J137" s="7"/>
      <c r="K137" s="7"/>
      <c r="L137" s="7"/>
    </row>
    <row r="138" spans="1:12" x14ac:dyDescent="0.25">
      <c r="A138" s="5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1:12" x14ac:dyDescent="0.25">
      <c r="A139" s="5"/>
      <c r="C139" s="7"/>
      <c r="D139" s="7"/>
      <c r="E139" s="6"/>
      <c r="F139" s="7"/>
      <c r="G139" s="7"/>
      <c r="H139" s="7"/>
      <c r="I139" s="7"/>
      <c r="J139" s="7"/>
      <c r="K139" s="7"/>
      <c r="L139" s="7"/>
    </row>
    <row r="140" spans="1:12" x14ac:dyDescent="0.25">
      <c r="A140" s="5"/>
      <c r="C140" s="7"/>
      <c r="D140" s="7"/>
      <c r="E140" s="7"/>
      <c r="F140" s="6"/>
      <c r="G140" s="6"/>
      <c r="H140" s="6"/>
      <c r="I140" s="6"/>
      <c r="J140" s="7"/>
      <c r="K140" s="7"/>
      <c r="L140" s="7"/>
    </row>
    <row r="141" spans="1:12" x14ac:dyDescent="0.25">
      <c r="A141" s="5"/>
      <c r="C141" s="6"/>
      <c r="D141" s="6"/>
      <c r="E141" s="7"/>
      <c r="F141" s="7"/>
      <c r="G141" s="7"/>
      <c r="H141" s="7"/>
      <c r="I141" s="7"/>
      <c r="J141" s="7"/>
      <c r="K141" s="7"/>
      <c r="L141" s="7"/>
    </row>
    <row r="142" spans="1:12" x14ac:dyDescent="0.25">
      <c r="A142" s="5"/>
      <c r="C142" s="6"/>
      <c r="D142" s="6"/>
      <c r="E142" s="7"/>
      <c r="F142" s="7"/>
      <c r="G142" s="7"/>
      <c r="H142" s="7"/>
      <c r="I142" s="7"/>
      <c r="J142" s="7"/>
      <c r="K142" s="7"/>
      <c r="L142" s="7"/>
    </row>
    <row r="143" spans="1:12" x14ac:dyDescent="0.25">
      <c r="A143" s="5"/>
      <c r="C143" s="7"/>
      <c r="D143" s="6"/>
      <c r="E143" s="7"/>
      <c r="F143" s="7"/>
      <c r="G143" s="7"/>
      <c r="H143" s="7"/>
      <c r="I143" s="7"/>
      <c r="J143" s="7"/>
      <c r="K143" s="7"/>
      <c r="L143" s="7"/>
    </row>
    <row r="144" spans="1:12" x14ac:dyDescent="0.25">
      <c r="A144" s="5"/>
      <c r="C144" s="7"/>
      <c r="D144" s="6"/>
      <c r="E144" s="6"/>
      <c r="F144" s="6"/>
      <c r="G144" s="6"/>
      <c r="H144" s="6"/>
      <c r="I144" s="6"/>
      <c r="J144" s="6"/>
      <c r="K144" s="6"/>
      <c r="L144" s="6"/>
    </row>
    <row r="145" spans="1:12" x14ac:dyDescent="0.25">
      <c r="A145" s="5"/>
      <c r="C145" s="7"/>
      <c r="D145" s="7"/>
      <c r="E145" s="6"/>
      <c r="F145" s="7"/>
      <c r="G145" s="7"/>
      <c r="H145" s="7"/>
      <c r="I145" s="7"/>
      <c r="J145" s="7"/>
      <c r="K145" s="7"/>
      <c r="L145" s="7"/>
    </row>
    <row r="146" spans="1:12" x14ac:dyDescent="0.25">
      <c r="A146" s="5"/>
      <c r="C146" s="7"/>
      <c r="D146" s="7"/>
      <c r="E146" s="6"/>
      <c r="F146" s="6"/>
      <c r="G146" s="6"/>
      <c r="H146" s="6"/>
      <c r="I146" s="6"/>
      <c r="J146" s="6"/>
      <c r="K146" s="6"/>
      <c r="L146" s="6"/>
    </row>
    <row r="147" spans="1:12" x14ac:dyDescent="0.25">
      <c r="A147" s="5"/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 spans="1:12" x14ac:dyDescent="0.25">
      <c r="A148" s="5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1:12" x14ac:dyDescent="0.25">
      <c r="A149" s="5"/>
      <c r="C149" s="7"/>
      <c r="D149" s="7"/>
      <c r="E149" s="6"/>
      <c r="F149" s="6"/>
      <c r="G149" s="6"/>
      <c r="H149" s="6"/>
      <c r="I149" s="6"/>
      <c r="J149" s="6"/>
      <c r="K149" s="6"/>
      <c r="L149" s="6"/>
    </row>
    <row r="150" spans="1:12" x14ac:dyDescent="0.25">
      <c r="A150" s="5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1:12" x14ac:dyDescent="0.25">
      <c r="A151" s="5"/>
      <c r="C151" s="7"/>
      <c r="D151" s="7"/>
      <c r="E151" s="7"/>
      <c r="F151" s="6"/>
      <c r="G151" s="6"/>
      <c r="H151" s="6"/>
      <c r="I151" s="6"/>
      <c r="J151" s="6"/>
      <c r="K151" s="6"/>
      <c r="L151" s="6"/>
    </row>
    <row r="152" spans="1:12" x14ac:dyDescent="0.25">
      <c r="A152" s="5"/>
      <c r="C152" s="7"/>
      <c r="D152" s="7"/>
      <c r="E152" s="6"/>
      <c r="F152" s="6"/>
      <c r="G152" s="6"/>
      <c r="H152" s="6"/>
      <c r="I152" s="6"/>
      <c r="J152" s="6"/>
      <c r="K152" s="6"/>
      <c r="L152" s="6"/>
    </row>
    <row r="153" spans="1:12" x14ac:dyDescent="0.25">
      <c r="A153" s="5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 spans="1:12" x14ac:dyDescent="0.25">
      <c r="A154" s="5"/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 spans="1:12" x14ac:dyDescent="0.25">
      <c r="A155" s="5"/>
      <c r="C155" s="6"/>
      <c r="D155" s="6"/>
      <c r="E155" s="7"/>
      <c r="F155" s="7"/>
      <c r="G155" s="7"/>
      <c r="H155" s="7"/>
      <c r="I155" s="7"/>
      <c r="J155" s="7"/>
      <c r="K155" s="7"/>
      <c r="L155" s="7"/>
    </row>
    <row r="156" spans="1:12" x14ac:dyDescent="0.25">
      <c r="A156" s="5"/>
      <c r="C156" s="6"/>
      <c r="D156" s="6"/>
      <c r="E156" s="7"/>
      <c r="F156" s="7"/>
      <c r="G156" s="7"/>
      <c r="H156" s="7"/>
      <c r="I156" s="7"/>
      <c r="J156" s="7"/>
      <c r="K156" s="7"/>
      <c r="L156" s="7"/>
    </row>
    <row r="157" spans="1:12" x14ac:dyDescent="0.25">
      <c r="A157" s="5"/>
      <c r="C157" s="7"/>
      <c r="D157" s="7"/>
      <c r="E157" s="6"/>
      <c r="F157" s="6"/>
      <c r="G157" s="6"/>
      <c r="H157" s="6"/>
      <c r="I157" s="6"/>
      <c r="J157" s="6"/>
      <c r="K157" s="6"/>
      <c r="L157" s="6"/>
    </row>
    <row r="158" spans="1:12" x14ac:dyDescent="0.25">
      <c r="A158" s="5"/>
      <c r="C158" s="6"/>
      <c r="D158" s="6"/>
      <c r="E158" s="6"/>
      <c r="F158" s="6"/>
      <c r="G158" s="7"/>
      <c r="H158" s="7"/>
      <c r="I158" s="7"/>
      <c r="J158" s="7"/>
      <c r="K158" s="7"/>
      <c r="L158" s="7"/>
    </row>
    <row r="159" spans="1:12" x14ac:dyDescent="0.25">
      <c r="A159" s="5"/>
      <c r="C159" s="7"/>
      <c r="D159" s="7"/>
      <c r="E159" s="7"/>
      <c r="F159" s="7"/>
      <c r="G159" s="6"/>
      <c r="H159" s="6"/>
      <c r="I159" s="6"/>
      <c r="J159" s="7"/>
      <c r="K159" s="7"/>
      <c r="L159" s="7"/>
    </row>
    <row r="160" spans="1:12" x14ac:dyDescent="0.25">
      <c r="A160" s="5"/>
      <c r="C160" s="7"/>
      <c r="D160" s="6"/>
      <c r="E160" s="7"/>
      <c r="F160" s="7"/>
      <c r="G160" s="6"/>
      <c r="H160" s="7"/>
      <c r="I160" s="7"/>
      <c r="J160" s="7"/>
      <c r="K160" s="7"/>
      <c r="L160" s="7"/>
    </row>
    <row r="161" spans="1:12" x14ac:dyDescent="0.25">
      <c r="A161" s="5"/>
      <c r="C161" s="7"/>
      <c r="D161" s="6"/>
      <c r="E161" s="6"/>
      <c r="F161" s="6"/>
      <c r="G161" s="6"/>
      <c r="H161" s="6"/>
      <c r="I161" s="6"/>
      <c r="J161" s="6"/>
      <c r="K161" s="6"/>
      <c r="L161" s="6"/>
    </row>
    <row r="162" spans="1:12" x14ac:dyDescent="0.25">
      <c r="A162" s="5"/>
      <c r="C162" s="6"/>
      <c r="D162" s="6"/>
      <c r="E162" s="6"/>
      <c r="F162" s="7"/>
      <c r="G162" s="6"/>
      <c r="H162" s="6"/>
      <c r="I162" s="7"/>
      <c r="J162" s="6"/>
      <c r="K162" s="7"/>
      <c r="L162" s="6"/>
    </row>
    <row r="163" spans="1:12" x14ac:dyDescent="0.25">
      <c r="A163" s="5"/>
      <c r="C163" s="6"/>
      <c r="D163" s="6"/>
      <c r="E163" s="7"/>
      <c r="F163" s="7"/>
      <c r="G163" s="7"/>
      <c r="H163" s="7"/>
      <c r="I163" s="7"/>
      <c r="J163" s="7"/>
      <c r="K163" s="7"/>
      <c r="L163" s="7"/>
    </row>
    <row r="164" spans="1:12" x14ac:dyDescent="0.25">
      <c r="A164" s="5"/>
      <c r="C164" s="7"/>
      <c r="D164" s="7"/>
      <c r="E164" s="7"/>
      <c r="F164" s="7"/>
      <c r="G164" s="7"/>
      <c r="H164" s="6"/>
      <c r="I164" s="6"/>
      <c r="J164" s="6"/>
      <c r="K164" s="6"/>
      <c r="L164" s="6"/>
    </row>
    <row r="165" spans="1:12" x14ac:dyDescent="0.25">
      <c r="A165" s="5"/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pans="1:12" x14ac:dyDescent="0.25">
      <c r="A166" s="5"/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 spans="1:12" x14ac:dyDescent="0.25">
      <c r="A167" s="5"/>
      <c r="C167" s="6"/>
      <c r="D167" s="6"/>
      <c r="E167" s="6"/>
      <c r="F167" s="6"/>
      <c r="G167" s="6"/>
      <c r="H167" s="6"/>
      <c r="I167" s="6"/>
      <c r="J167" s="7"/>
      <c r="K167" s="7"/>
      <c r="L167" s="7"/>
    </row>
    <row r="168" spans="1:12" x14ac:dyDescent="0.25">
      <c r="A168" s="5"/>
      <c r="C168" s="7"/>
      <c r="D168" s="7"/>
      <c r="E168" s="7"/>
      <c r="F168" s="7"/>
      <c r="G168" s="7"/>
      <c r="H168" s="7"/>
      <c r="I168" s="7"/>
      <c r="J168" s="7"/>
      <c r="K168" s="7"/>
      <c r="L168" s="6"/>
    </row>
    <row r="169" spans="1:12" x14ac:dyDescent="0.25">
      <c r="A169" s="5"/>
      <c r="C169" s="6"/>
      <c r="D169" s="6"/>
      <c r="E169" s="6"/>
      <c r="F169" s="7"/>
      <c r="G169" s="6"/>
      <c r="H169" s="6"/>
      <c r="I169" s="6"/>
      <c r="J169" s="6"/>
      <c r="K169" s="6"/>
      <c r="L169" s="6"/>
    </row>
    <row r="170" spans="1:12" x14ac:dyDescent="0.25">
      <c r="A170" s="5"/>
      <c r="C170" s="7"/>
      <c r="D170" s="7"/>
      <c r="E170" s="7"/>
      <c r="F170" s="7"/>
      <c r="G170" s="6"/>
      <c r="H170" s="7"/>
      <c r="I170" s="7"/>
      <c r="J170" s="7"/>
      <c r="K170" s="7"/>
      <c r="L170" s="7"/>
    </row>
    <row r="171" spans="1:12" x14ac:dyDescent="0.25">
      <c r="A171" s="5"/>
      <c r="C171" s="7"/>
      <c r="D171" s="7"/>
      <c r="E171" s="6"/>
      <c r="F171" s="7"/>
      <c r="G171" s="7"/>
      <c r="H171" s="7"/>
      <c r="I171" s="7"/>
      <c r="J171" s="7"/>
      <c r="K171" s="7"/>
      <c r="L171" s="7"/>
    </row>
    <row r="172" spans="1:12" x14ac:dyDescent="0.25">
      <c r="A172" s="5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1:12" x14ac:dyDescent="0.25">
      <c r="A173" s="5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1:12" x14ac:dyDescent="0.25">
      <c r="A174" s="5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1:12" x14ac:dyDescent="0.25">
      <c r="A175" s="5"/>
      <c r="C175" s="7"/>
      <c r="D175" s="7"/>
      <c r="E175" s="7"/>
      <c r="F175" s="7"/>
      <c r="G175" s="7"/>
      <c r="H175" s="7"/>
      <c r="I175" s="7"/>
      <c r="J175" s="7"/>
      <c r="K175" s="6"/>
      <c r="L175" s="6"/>
    </row>
    <row r="176" spans="1:12" x14ac:dyDescent="0.25">
      <c r="A176" s="5"/>
      <c r="C176" s="6"/>
      <c r="D176" s="6"/>
      <c r="E176" s="6"/>
      <c r="F176" s="7"/>
      <c r="G176" s="7"/>
      <c r="H176" s="7"/>
      <c r="I176" s="7"/>
      <c r="J176" s="7"/>
      <c r="K176" s="7"/>
      <c r="L176" s="7"/>
    </row>
    <row r="177" spans="1:12" x14ac:dyDescent="0.25">
      <c r="A177" s="5"/>
      <c r="C177" s="6"/>
      <c r="D177" s="7"/>
      <c r="E177" s="7"/>
      <c r="F177" s="7"/>
      <c r="G177" s="7"/>
      <c r="H177" s="7"/>
      <c r="I177" s="7"/>
      <c r="J177" s="7"/>
      <c r="K177" s="7"/>
      <c r="L177" s="7"/>
    </row>
    <row r="178" spans="1:12" x14ac:dyDescent="0.25">
      <c r="A178" s="5"/>
      <c r="C178" s="7"/>
      <c r="D178" s="6"/>
      <c r="E178" s="7"/>
      <c r="F178" s="7"/>
      <c r="G178" s="7"/>
      <c r="H178" s="7"/>
      <c r="I178" s="7"/>
      <c r="J178" s="7"/>
      <c r="K178" s="7"/>
      <c r="L178" s="7"/>
    </row>
    <row r="179" spans="1:12" x14ac:dyDescent="0.25">
      <c r="A179" s="5"/>
      <c r="C179" s="7"/>
      <c r="D179" s="6"/>
      <c r="E179" s="7"/>
      <c r="F179" s="7"/>
      <c r="G179" s="7"/>
      <c r="H179" s="7"/>
      <c r="I179" s="7"/>
      <c r="J179" s="7"/>
      <c r="K179" s="7"/>
      <c r="L179" s="7"/>
    </row>
    <row r="180" spans="1:12" x14ac:dyDescent="0.25">
      <c r="A180" s="5"/>
      <c r="C180" s="6"/>
      <c r="D180" s="6"/>
      <c r="E180" s="6"/>
      <c r="F180" s="6"/>
      <c r="G180" s="6"/>
      <c r="H180" s="6"/>
      <c r="I180" s="6"/>
      <c r="J180" s="6"/>
      <c r="K180" s="6"/>
      <c r="L180" s="6"/>
    </row>
    <row r="181" spans="1:12" x14ac:dyDescent="0.25">
      <c r="A181" s="5"/>
      <c r="C181" s="7"/>
      <c r="D181" s="6"/>
      <c r="E181" s="6"/>
      <c r="F181" s="6"/>
      <c r="G181" s="6"/>
      <c r="H181" s="6"/>
      <c r="I181" s="6"/>
      <c r="J181" s="6"/>
      <c r="K181" s="6"/>
      <c r="L181" s="6"/>
    </row>
    <row r="182" spans="1:12" x14ac:dyDescent="0.25">
      <c r="A182" s="5"/>
      <c r="C182" s="7"/>
      <c r="D182" s="7"/>
      <c r="E182" s="7"/>
      <c r="F182" s="7"/>
      <c r="G182" s="7"/>
      <c r="H182" s="7"/>
      <c r="I182" s="6"/>
      <c r="J182" s="6"/>
      <c r="K182" s="6"/>
      <c r="L182" s="7"/>
    </row>
    <row r="183" spans="1:12" x14ac:dyDescent="0.25">
      <c r="A183" s="5"/>
      <c r="C183" s="7"/>
      <c r="D183" s="7"/>
      <c r="E183" s="7"/>
      <c r="F183" s="7"/>
      <c r="G183" s="7"/>
      <c r="H183" s="7"/>
      <c r="I183" s="6"/>
      <c r="J183" s="6"/>
      <c r="K183" s="7"/>
      <c r="L183" s="7"/>
    </row>
    <row r="184" spans="1:12" x14ac:dyDescent="0.25">
      <c r="A184" s="5"/>
      <c r="C184" s="6"/>
      <c r="D184" s="6"/>
      <c r="E184" s="6"/>
      <c r="F184" s="6"/>
      <c r="G184" s="6"/>
      <c r="H184" s="6"/>
      <c r="I184" s="6"/>
      <c r="J184" s="6"/>
      <c r="K184" s="6"/>
      <c r="L184" s="7"/>
    </row>
    <row r="185" spans="1:12" x14ac:dyDescent="0.25">
      <c r="A185" s="5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1:12" x14ac:dyDescent="0.25">
      <c r="A186" s="5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pans="1:12" x14ac:dyDescent="0.25">
      <c r="A187" s="5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 spans="1:12" x14ac:dyDescent="0.25">
      <c r="A188" s="5"/>
      <c r="C188" s="6"/>
      <c r="D188" s="6"/>
      <c r="E188" s="6"/>
      <c r="F188" s="6"/>
      <c r="G188" s="6"/>
      <c r="H188" s="6"/>
      <c r="I188" s="6"/>
      <c r="J188" s="6"/>
      <c r="K188" s="6"/>
      <c r="L188" s="6"/>
    </row>
    <row r="189" spans="1:12" x14ac:dyDescent="0.25">
      <c r="A189" s="5"/>
      <c r="C189" s="7"/>
      <c r="D189" s="7"/>
      <c r="E189" s="7"/>
      <c r="F189" s="7"/>
      <c r="G189" s="7"/>
      <c r="H189" s="7"/>
      <c r="I189" s="7"/>
      <c r="J189" s="7"/>
      <c r="K189" s="7"/>
      <c r="L189" s="6"/>
    </row>
  </sheetData>
  <sheetProtection formatCells="0" formatColumns="0" formatRows="0" insertColumns="0" insertRows="0" insertHyperlinks="0" deleteColumns="0" deleteRows="0" sort="0" autoFilter="0" pivotTables="0"/>
  <mergeCells count="2">
    <mergeCell ref="K41:M41"/>
    <mergeCell ref="AO19:AR1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5D4DE-A012-4F9D-953C-62B58B49B39A}">
  <dimension ref="A2:AD60"/>
  <sheetViews>
    <sheetView zoomScale="80" zoomScaleNormal="80" workbookViewId="0">
      <selection activeCell="X27" sqref="X27"/>
    </sheetView>
  </sheetViews>
  <sheetFormatPr defaultColWidth="8.77734375" defaultRowHeight="13.2" x14ac:dyDescent="0.25"/>
  <cols>
    <col min="1" max="1" width="53.6640625" bestFit="1" customWidth="1"/>
    <col min="3" max="9" width="13.33203125" bestFit="1" customWidth="1"/>
    <col min="10" max="10" width="12.5546875" customWidth="1"/>
    <col min="11" max="11" width="13.33203125" customWidth="1"/>
    <col min="12" max="12" width="20.21875" customWidth="1"/>
    <col min="13" max="13" width="15.77734375" style="41" customWidth="1"/>
    <col min="14" max="14" width="15.33203125" customWidth="1"/>
    <col min="15" max="15" width="17.44140625" customWidth="1"/>
    <col min="16" max="16" width="19" customWidth="1"/>
    <col min="17" max="17" width="16.109375" customWidth="1"/>
    <col min="18" max="18" width="15.109375" customWidth="1"/>
    <col min="19" max="19" width="14.77734375" customWidth="1"/>
    <col min="20" max="183" width="12" customWidth="1"/>
  </cols>
  <sheetData>
    <row r="2" spans="1:30" x14ac:dyDescent="0.25">
      <c r="N2" s="58"/>
    </row>
    <row r="3" spans="1:30" x14ac:dyDescent="0.25">
      <c r="H3" s="84"/>
      <c r="I3" s="84"/>
      <c r="J3" s="84"/>
      <c r="K3" s="84"/>
      <c r="L3" s="84"/>
      <c r="M3" s="84"/>
      <c r="N3" s="84"/>
      <c r="O3" s="65"/>
    </row>
    <row r="4" spans="1:30" ht="21" x14ac:dyDescent="0.4">
      <c r="A4" s="1" t="s">
        <v>0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30" x14ac:dyDescent="0.25">
      <c r="A5" s="51" t="s">
        <v>45</v>
      </c>
      <c r="C5" s="43" t="s">
        <v>11</v>
      </c>
      <c r="D5" s="43" t="s">
        <v>10</v>
      </c>
      <c r="E5" s="43" t="s">
        <v>9</v>
      </c>
      <c r="F5" s="43" t="s">
        <v>8</v>
      </c>
      <c r="G5" s="43" t="s">
        <v>7</v>
      </c>
      <c r="H5" s="43" t="s">
        <v>6</v>
      </c>
      <c r="I5" s="43" t="s">
        <v>5</v>
      </c>
      <c r="J5" s="43" t="s">
        <v>4</v>
      </c>
      <c r="K5" s="43" t="s">
        <v>3</v>
      </c>
      <c r="L5" s="43" t="s">
        <v>2</v>
      </c>
      <c r="M5" s="52">
        <v>45657</v>
      </c>
      <c r="N5" s="52">
        <v>46022</v>
      </c>
      <c r="O5" s="52">
        <v>46387</v>
      </c>
      <c r="P5" s="52">
        <v>46752</v>
      </c>
      <c r="Q5" s="52">
        <v>47118</v>
      </c>
      <c r="R5" s="52">
        <v>47483</v>
      </c>
      <c r="S5" s="64" t="s">
        <v>91</v>
      </c>
    </row>
    <row r="6" spans="1:30" x14ac:dyDescent="0.25">
      <c r="A6" s="3" t="s">
        <v>12</v>
      </c>
      <c r="C6" s="4" t="s">
        <v>13</v>
      </c>
      <c r="D6" s="4" t="s">
        <v>13</v>
      </c>
      <c r="E6" s="4" t="s">
        <v>13</v>
      </c>
      <c r="F6" s="4" t="s">
        <v>13</v>
      </c>
      <c r="G6" s="4" t="s">
        <v>13</v>
      </c>
      <c r="H6" s="4" t="s">
        <v>13</v>
      </c>
      <c r="I6" s="4" t="s">
        <v>13</v>
      </c>
      <c r="J6" s="4" t="s">
        <v>13</v>
      </c>
      <c r="K6" s="4" t="s">
        <v>13</v>
      </c>
      <c r="L6" s="4" t="s">
        <v>13</v>
      </c>
      <c r="M6" s="42" t="s">
        <v>13</v>
      </c>
      <c r="N6" s="42" t="s">
        <v>13</v>
      </c>
      <c r="O6" s="42" t="s">
        <v>13</v>
      </c>
      <c r="P6" s="42" t="s">
        <v>13</v>
      </c>
      <c r="Q6" s="42" t="s">
        <v>13</v>
      </c>
      <c r="R6" s="42" t="s">
        <v>13</v>
      </c>
      <c r="W6" s="58"/>
      <c r="X6" s="58"/>
      <c r="Y6" s="58" t="s">
        <v>138</v>
      </c>
      <c r="Z6" s="58" t="s">
        <v>139</v>
      </c>
      <c r="AA6" s="58" t="s">
        <v>140</v>
      </c>
      <c r="AB6" s="58" t="s">
        <v>141</v>
      </c>
      <c r="AC6" s="58" t="s">
        <v>142</v>
      </c>
    </row>
    <row r="7" spans="1:30" x14ac:dyDescent="0.25">
      <c r="A7" s="3" t="s">
        <v>14</v>
      </c>
      <c r="C7" s="43" t="s">
        <v>15</v>
      </c>
      <c r="D7" s="43" t="s">
        <v>15</v>
      </c>
      <c r="E7" s="43" t="s">
        <v>15</v>
      </c>
      <c r="F7" s="43" t="s">
        <v>15</v>
      </c>
      <c r="G7" s="43" t="s">
        <v>15</v>
      </c>
      <c r="H7" s="43" t="s">
        <v>15</v>
      </c>
      <c r="I7" s="43" t="s">
        <v>15</v>
      </c>
      <c r="J7" s="43" t="s">
        <v>15</v>
      </c>
      <c r="K7" s="43" t="s">
        <v>15</v>
      </c>
      <c r="L7" s="43" t="s">
        <v>15</v>
      </c>
      <c r="M7" s="44" t="s">
        <v>15</v>
      </c>
      <c r="N7" s="44" t="s">
        <v>15</v>
      </c>
      <c r="O7" s="44" t="s">
        <v>15</v>
      </c>
      <c r="P7" s="44" t="s">
        <v>15</v>
      </c>
      <c r="Q7" s="44" t="s">
        <v>15</v>
      </c>
      <c r="R7" s="44" t="s">
        <v>15</v>
      </c>
      <c r="W7" s="9"/>
      <c r="X7" s="9"/>
      <c r="Y7" s="9">
        <f t="shared" ref="Y7:AC7" si="0">((I8-H8)/H8)*100</f>
        <v>2.046855020352476</v>
      </c>
      <c r="Z7" s="9">
        <f t="shared" si="0"/>
        <v>10.081550050989488</v>
      </c>
      <c r="AA7" s="9">
        <f t="shared" si="0"/>
        <v>16.139812828344315</v>
      </c>
      <c r="AB7" s="9">
        <f t="shared" si="0"/>
        <v>7.1568956591492663</v>
      </c>
      <c r="AC7" s="9">
        <f t="shared" si="0"/>
        <v>0.33382021232079701</v>
      </c>
    </row>
    <row r="8" spans="1:30" x14ac:dyDescent="0.25">
      <c r="A8" s="25" t="s">
        <v>46</v>
      </c>
      <c r="B8" s="26"/>
      <c r="C8" s="27">
        <v>7421768</v>
      </c>
      <c r="D8" s="27">
        <v>7386626</v>
      </c>
      <c r="E8" s="27">
        <v>7440181</v>
      </c>
      <c r="F8" s="27">
        <v>7515426</v>
      </c>
      <c r="G8" s="27">
        <v>7791069</v>
      </c>
      <c r="H8" s="27">
        <v>7986252</v>
      </c>
      <c r="I8" s="27">
        <v>8149719</v>
      </c>
      <c r="J8" s="27">
        <v>8971337</v>
      </c>
      <c r="K8" s="27">
        <v>10419294</v>
      </c>
      <c r="L8" s="27">
        <v>11164992</v>
      </c>
      <c r="M8" s="47">
        <v>11202263</v>
      </c>
      <c r="N8" s="47">
        <f>M8*(1+3%)</f>
        <v>11538330.890000001</v>
      </c>
      <c r="O8" s="47">
        <f t="shared" ref="O8:R8" si="1">N8*(1+3%)</f>
        <v>11884480.8167</v>
      </c>
      <c r="P8" s="47">
        <f t="shared" si="1"/>
        <v>12241015.241201</v>
      </c>
      <c r="Q8" s="47">
        <f t="shared" si="1"/>
        <v>12608245.698437031</v>
      </c>
      <c r="R8" s="47">
        <f t="shared" si="1"/>
        <v>12986493.069390142</v>
      </c>
      <c r="S8" s="47">
        <f>R8*(1+1.5%)</f>
        <v>13181290.465430994</v>
      </c>
      <c r="W8" s="58"/>
    </row>
    <row r="9" spans="1:30" x14ac:dyDescent="0.25">
      <c r="A9" s="25" t="s">
        <v>47</v>
      </c>
      <c r="B9" s="26"/>
      <c r="C9" s="27">
        <v>4085602</v>
      </c>
      <c r="D9" s="27">
        <v>4003951</v>
      </c>
      <c r="E9" s="27">
        <v>4282290</v>
      </c>
      <c r="F9" s="27">
        <v>4070907</v>
      </c>
      <c r="G9" s="27">
        <v>4215744</v>
      </c>
      <c r="H9" s="27">
        <v>4363774</v>
      </c>
      <c r="I9" s="27">
        <v>4448450</v>
      </c>
      <c r="J9" s="27">
        <v>4922739</v>
      </c>
      <c r="K9" s="27">
        <v>5920509</v>
      </c>
      <c r="L9" s="27">
        <v>6167176</v>
      </c>
      <c r="M9" s="27">
        <v>5901375</v>
      </c>
      <c r="N9" s="47">
        <f t="shared" ref="N9:S9" si="2">$M$42*N8</f>
        <v>6078416.2500000009</v>
      </c>
      <c r="O9" s="47">
        <f t="shared" si="2"/>
        <v>6260768.7375000007</v>
      </c>
      <c r="P9" s="47">
        <f t="shared" si="2"/>
        <v>6448591.7996250009</v>
      </c>
      <c r="Q9" s="47">
        <f t="shared" si="2"/>
        <v>6642049.5536137512</v>
      </c>
      <c r="R9" s="47">
        <f t="shared" si="2"/>
        <v>6841311.0402221642</v>
      </c>
      <c r="S9" s="47">
        <f t="shared" si="2"/>
        <v>6943930.7058254955</v>
      </c>
      <c r="W9" s="58" t="s">
        <v>143</v>
      </c>
      <c r="X9" s="66">
        <f>AVERAGE(Y7:AC7)</f>
        <v>7.1517867542312672</v>
      </c>
    </row>
    <row r="10" spans="1:30" x14ac:dyDescent="0.25">
      <c r="A10" s="11" t="s">
        <v>48</v>
      </c>
      <c r="B10" s="12"/>
      <c r="C10" s="13">
        <v>3336166</v>
      </c>
      <c r="D10" s="13">
        <v>3382675</v>
      </c>
      <c r="E10" s="14">
        <v>3157891</v>
      </c>
      <c r="F10" s="14">
        <v>3444519</v>
      </c>
      <c r="G10" s="14">
        <v>3575325</v>
      </c>
      <c r="H10" s="14">
        <v>3622478</v>
      </c>
      <c r="I10" s="14">
        <v>3701269</v>
      </c>
      <c r="J10" s="14">
        <v>4048598</v>
      </c>
      <c r="K10" s="14">
        <v>4498785</v>
      </c>
      <c r="L10" s="14">
        <v>4997816</v>
      </c>
      <c r="M10" s="40">
        <v>5300888</v>
      </c>
      <c r="N10" s="15">
        <f>N8-N9</f>
        <v>5459914.6399999997</v>
      </c>
      <c r="O10" s="15">
        <f>O8-O9</f>
        <v>5623712.0791999996</v>
      </c>
      <c r="P10" s="15">
        <f>P8-P9</f>
        <v>5792423.4415759994</v>
      </c>
      <c r="Q10" s="15">
        <f t="shared" ref="Q10" si="3">Q8-Q9</f>
        <v>5966196.1448232802</v>
      </c>
      <c r="R10" s="15">
        <f>R8-R9</f>
        <v>6145182.0291679781</v>
      </c>
      <c r="S10" s="15">
        <f>S8-S9</f>
        <v>6237359.7596054981</v>
      </c>
      <c r="W10" s="58" t="s">
        <v>145</v>
      </c>
      <c r="X10" s="84">
        <f>RATE(5,0,H8,-M8)</f>
        <v>7.0021615444230439E-2</v>
      </c>
    </row>
    <row r="11" spans="1:30" x14ac:dyDescent="0.25">
      <c r="A11" s="25" t="s">
        <v>49</v>
      </c>
      <c r="B11" s="26"/>
      <c r="C11" s="27">
        <v>1900970</v>
      </c>
      <c r="D11" s="27">
        <v>1969308</v>
      </c>
      <c r="E11" s="27">
        <v>1915378</v>
      </c>
      <c r="F11" s="27">
        <v>1913403</v>
      </c>
      <c r="G11" s="27">
        <v>1874829</v>
      </c>
      <c r="H11" s="27">
        <v>1905929</v>
      </c>
      <c r="I11" s="27">
        <v>1890925</v>
      </c>
      <c r="J11" s="27">
        <v>2001351</v>
      </c>
      <c r="K11" s="27">
        <v>2236009</v>
      </c>
      <c r="L11" s="27">
        <v>2436508</v>
      </c>
      <c r="M11" s="27">
        <v>2373621</v>
      </c>
      <c r="N11" s="47">
        <f>$M$44*N8</f>
        <v>2444829.63</v>
      </c>
      <c r="O11" s="47">
        <f>$M$44*O8</f>
        <v>2518174.5189</v>
      </c>
      <c r="P11" s="47">
        <f>$M$44*P8</f>
        <v>2593719.7544669998</v>
      </c>
      <c r="Q11" s="47">
        <f t="shared" ref="Q11:R11" si="4">$M$44*Q8</f>
        <v>2671531.3471010104</v>
      </c>
      <c r="R11" s="47">
        <f t="shared" si="4"/>
        <v>2751677.2875140407</v>
      </c>
      <c r="S11" s="47">
        <f>$M$44*S8</f>
        <v>2792952.4468267509</v>
      </c>
      <c r="Y11" s="84"/>
      <c r="Z11" s="84"/>
      <c r="AA11" s="84"/>
      <c r="AB11" s="84"/>
      <c r="AC11" s="84"/>
      <c r="AD11" s="84"/>
    </row>
    <row r="12" spans="1:30" x14ac:dyDescent="0.25">
      <c r="A12" s="25" t="s">
        <v>50</v>
      </c>
      <c r="B12" s="26"/>
      <c r="C12" s="28">
        <v>45621</v>
      </c>
      <c r="D12" s="27">
        <v>375608</v>
      </c>
      <c r="E12" s="27">
        <v>36730</v>
      </c>
      <c r="F12" s="27">
        <v>256475</v>
      </c>
      <c r="G12" s="27">
        <v>76832</v>
      </c>
      <c r="H12" s="27">
        <v>120597</v>
      </c>
      <c r="I12" s="27">
        <v>27646</v>
      </c>
      <c r="J12" s="27">
        <v>3525</v>
      </c>
      <c r="K12" s="27">
        <v>1989</v>
      </c>
      <c r="L12" s="27">
        <v>441</v>
      </c>
      <c r="M12" s="47">
        <v>29035</v>
      </c>
      <c r="N12" s="60">
        <f>$M$45*N8</f>
        <v>29906.05</v>
      </c>
      <c r="O12" s="60">
        <f>$M$45*O8</f>
        <v>30803.231499999998</v>
      </c>
      <c r="P12" s="60">
        <f t="shared" ref="P12:Q12" si="5">$M$45*P8</f>
        <v>31727.328444999999</v>
      </c>
      <c r="Q12" s="60">
        <f t="shared" si="5"/>
        <v>32679.148298350003</v>
      </c>
      <c r="R12" s="60">
        <f>$M$45*R8</f>
        <v>33659.5227473005</v>
      </c>
      <c r="S12" s="60">
        <f>$M$45*S8</f>
        <v>34164.415588510004</v>
      </c>
    </row>
    <row r="13" spans="1:30" x14ac:dyDescent="0.25">
      <c r="A13" s="11" t="s">
        <v>51</v>
      </c>
      <c r="B13" s="12"/>
      <c r="C13" s="14">
        <v>1389575</v>
      </c>
      <c r="D13" s="14">
        <v>1037759</v>
      </c>
      <c r="E13" s="14">
        <v>1205783</v>
      </c>
      <c r="F13" s="14">
        <v>1274641</v>
      </c>
      <c r="G13" s="14">
        <v>1623664</v>
      </c>
      <c r="H13" s="14">
        <v>1595952</v>
      </c>
      <c r="I13" s="14">
        <v>1782698</v>
      </c>
      <c r="J13" s="14">
        <v>2043722</v>
      </c>
      <c r="K13" s="14">
        <v>2260787</v>
      </c>
      <c r="L13" s="14">
        <v>2560867</v>
      </c>
      <c r="M13" s="45">
        <v>2898232</v>
      </c>
      <c r="N13" s="40">
        <f>N10-N11-N12</f>
        <v>2985178.96</v>
      </c>
      <c r="O13" s="40">
        <f t="shared" ref="O13:S13" si="6">O10-O11-O12</f>
        <v>3074734.3287999993</v>
      </c>
      <c r="P13" s="40">
        <f t="shared" si="6"/>
        <v>3166976.3586639995</v>
      </c>
      <c r="Q13" s="40">
        <f t="shared" si="6"/>
        <v>3261985.6494239196</v>
      </c>
      <c r="R13" s="40">
        <f t="shared" si="6"/>
        <v>3359845.2189066368</v>
      </c>
      <c r="S13" s="40">
        <f t="shared" si="6"/>
        <v>3410242.897190237</v>
      </c>
      <c r="T13" s="6"/>
      <c r="U13" s="6"/>
      <c r="V13" s="6"/>
      <c r="W13" s="6"/>
    </row>
    <row r="14" spans="1:30" x14ac:dyDescent="0.25">
      <c r="A14" s="29" t="s">
        <v>52</v>
      </c>
      <c r="B14" s="32"/>
      <c r="C14" s="31">
        <v>-83532</v>
      </c>
      <c r="D14" s="31">
        <v>-105773</v>
      </c>
      <c r="E14" s="31">
        <v>-90143</v>
      </c>
      <c r="F14" s="31">
        <v>-98282</v>
      </c>
      <c r="G14" s="31">
        <v>-138837</v>
      </c>
      <c r="H14" s="31">
        <v>-144125</v>
      </c>
      <c r="I14" s="31">
        <v>-149374</v>
      </c>
      <c r="J14" s="31">
        <v>-127417</v>
      </c>
      <c r="K14" s="31">
        <v>-137557</v>
      </c>
      <c r="L14" s="31">
        <v>-151785</v>
      </c>
      <c r="M14" s="53">
        <v>-165655</v>
      </c>
      <c r="N14" s="53">
        <f>$M$47*N8</f>
        <v>-170624.65000000002</v>
      </c>
      <c r="O14" s="53">
        <f>$M$47*O8</f>
        <v>-175743.38950000002</v>
      </c>
      <c r="P14" s="53">
        <f>$M$47*P8</f>
        <v>-181015.691185</v>
      </c>
      <c r="Q14" s="53">
        <f t="shared" ref="Q14:S14" si="7">$M$47*Q8</f>
        <v>-186446.16192055002</v>
      </c>
      <c r="R14" s="53">
        <f t="shared" si="7"/>
        <v>-192039.54677816652</v>
      </c>
      <c r="S14" s="53">
        <f t="shared" si="7"/>
        <v>-194920.139979839</v>
      </c>
    </row>
    <row r="15" spans="1:30" x14ac:dyDescent="0.25">
      <c r="A15" s="29" t="s">
        <v>53</v>
      </c>
      <c r="B15" s="32"/>
      <c r="C15" s="33">
        <v>0</v>
      </c>
      <c r="D15" s="31">
        <v>-30139</v>
      </c>
      <c r="E15" s="31">
        <v>-16159</v>
      </c>
      <c r="F15" s="31">
        <v>-65691</v>
      </c>
      <c r="G15" s="31">
        <v>-74766</v>
      </c>
      <c r="H15" s="31">
        <v>-71043</v>
      </c>
      <c r="I15" s="31">
        <v>-138327</v>
      </c>
      <c r="J15" s="31">
        <v>-119081</v>
      </c>
      <c r="K15" s="31">
        <v>-206159</v>
      </c>
      <c r="L15" s="33">
        <v>-237218</v>
      </c>
      <c r="M15" s="53">
        <v>-258641</v>
      </c>
      <c r="N15" s="53">
        <f>$M$48*N8</f>
        <v>-266400.23</v>
      </c>
      <c r="O15" s="53">
        <f t="shared" ref="O15:S15" si="8">$M$48*O8</f>
        <v>-274392.23690000002</v>
      </c>
      <c r="P15" s="53">
        <f t="shared" si="8"/>
        <v>-282624.00400700001</v>
      </c>
      <c r="Q15" s="53">
        <f t="shared" si="8"/>
        <v>-291102.72412721004</v>
      </c>
      <c r="R15" s="53">
        <f t="shared" si="8"/>
        <v>-299835.80585102632</v>
      </c>
      <c r="S15" s="53">
        <f t="shared" si="8"/>
        <v>-304333.34293879167</v>
      </c>
    </row>
    <row r="16" spans="1:30" ht="14.4" x14ac:dyDescent="0.3">
      <c r="A16" s="11" t="s">
        <v>54</v>
      </c>
      <c r="B16" s="12"/>
      <c r="C16" s="14">
        <v>1306043</v>
      </c>
      <c r="D16" s="14">
        <v>901847</v>
      </c>
      <c r="E16" s="14">
        <v>1099481</v>
      </c>
      <c r="F16" s="14">
        <v>1110668</v>
      </c>
      <c r="G16" s="14">
        <v>1410061</v>
      </c>
      <c r="H16" s="14">
        <v>1380784</v>
      </c>
      <c r="I16" s="14">
        <v>1494997</v>
      </c>
      <c r="J16" s="14">
        <v>1797224</v>
      </c>
      <c r="K16" s="14">
        <v>1917071</v>
      </c>
      <c r="L16" s="14">
        <v>2171864</v>
      </c>
      <c r="M16" s="45">
        <f>SUM(M13:M15)</f>
        <v>2473936</v>
      </c>
      <c r="N16" s="40">
        <f>SUM(N13:N15)</f>
        <v>2548154.08</v>
      </c>
      <c r="O16" s="40">
        <f t="shared" ref="O16:S16" si="9">SUM(O13:O15)</f>
        <v>2624598.7023999994</v>
      </c>
      <c r="P16" s="40">
        <f t="shared" si="9"/>
        <v>2703336.6634719996</v>
      </c>
      <c r="Q16" s="40">
        <f t="shared" si="9"/>
        <v>2784436.7633761596</v>
      </c>
      <c r="R16" s="40">
        <f t="shared" si="9"/>
        <v>2867969.8662774437</v>
      </c>
      <c r="S16" s="40">
        <f t="shared" si="9"/>
        <v>2910989.4142716066</v>
      </c>
      <c r="T16" s="6"/>
      <c r="U16" s="6"/>
      <c r="V16" s="6"/>
      <c r="W16" s="111" t="s">
        <v>107</v>
      </c>
      <c r="X16" s="111"/>
      <c r="Y16" s="111"/>
      <c r="Z16" s="111"/>
    </row>
    <row r="17" spans="1:26" ht="14.4" x14ac:dyDescent="0.3">
      <c r="A17" s="37" t="s">
        <v>55</v>
      </c>
      <c r="B17" s="38"/>
      <c r="C17" s="39">
        <v>459131</v>
      </c>
      <c r="D17" s="39">
        <v>388896</v>
      </c>
      <c r="E17" s="39">
        <v>379437</v>
      </c>
      <c r="F17" s="39">
        <v>354131</v>
      </c>
      <c r="G17" s="39">
        <v>239010</v>
      </c>
      <c r="H17" s="39">
        <v>234032</v>
      </c>
      <c r="I17" s="39">
        <v>219584</v>
      </c>
      <c r="J17" s="39">
        <v>314405</v>
      </c>
      <c r="K17" s="39">
        <v>272254</v>
      </c>
      <c r="L17" s="39">
        <v>310077</v>
      </c>
      <c r="M17" s="15">
        <v>252697</v>
      </c>
      <c r="N17" s="15">
        <f>$M$50*N8</f>
        <v>260277.91</v>
      </c>
      <c r="O17" s="15">
        <f>$M$50*O8</f>
        <v>268086.24729999999</v>
      </c>
      <c r="P17" s="15">
        <f t="shared" ref="P17:Q17" si="10">$M$50*P8</f>
        <v>276128.83471899998</v>
      </c>
      <c r="Q17" s="15">
        <f t="shared" si="10"/>
        <v>284412.69976057002</v>
      </c>
      <c r="R17" s="15">
        <f>$M$50*R8</f>
        <v>292945.08075338713</v>
      </c>
      <c r="S17" s="15">
        <f>$M$50*S8</f>
        <v>297339.2569646879</v>
      </c>
      <c r="X17" s="82" t="s">
        <v>108</v>
      </c>
      <c r="Y17" s="82" t="s">
        <v>109</v>
      </c>
      <c r="Z17" s="82" t="s">
        <v>110</v>
      </c>
    </row>
    <row r="18" spans="1:26" ht="14.4" x14ac:dyDescent="0.3">
      <c r="A18" s="11" t="s">
        <v>56</v>
      </c>
      <c r="B18" s="12"/>
      <c r="C18" s="14">
        <v>846912</v>
      </c>
      <c r="D18" s="14">
        <v>512951</v>
      </c>
      <c r="E18" s="14">
        <v>720044</v>
      </c>
      <c r="F18" s="14">
        <v>756537</v>
      </c>
      <c r="G18" s="14">
        <v>1171051</v>
      </c>
      <c r="H18" s="14">
        <v>1146752</v>
      </c>
      <c r="I18" s="14">
        <v>1275413</v>
      </c>
      <c r="J18" s="14">
        <v>1482819</v>
      </c>
      <c r="K18" s="14">
        <v>1644817</v>
      </c>
      <c r="L18" s="14">
        <v>1861787</v>
      </c>
      <c r="M18" s="45">
        <f>M16-M17</f>
        <v>2221239</v>
      </c>
      <c r="N18" s="40">
        <f>N16-N17</f>
        <v>2287876.17</v>
      </c>
      <c r="O18" s="40">
        <f t="shared" ref="O18:S18" si="11">O16-O17</f>
        <v>2356512.4550999994</v>
      </c>
      <c r="P18" s="40">
        <f t="shared" si="11"/>
        <v>2427207.8287529997</v>
      </c>
      <c r="Q18" s="40">
        <f t="shared" si="11"/>
        <v>2500024.0636155894</v>
      </c>
      <c r="R18" s="40">
        <f t="shared" si="11"/>
        <v>2575024.7855240568</v>
      </c>
      <c r="S18" s="40">
        <f t="shared" si="11"/>
        <v>2613650.1573069189</v>
      </c>
      <c r="T18" s="6"/>
      <c r="U18" s="6"/>
      <c r="V18" s="6"/>
      <c r="W18" s="83" t="s">
        <v>111</v>
      </c>
      <c r="X18" s="85">
        <v>0.02</v>
      </c>
      <c r="Y18" s="85">
        <v>0.01</v>
      </c>
      <c r="Z18" s="85">
        <v>0.03</v>
      </c>
    </row>
    <row r="19" spans="1:26" ht="14.4" x14ac:dyDescent="0.3">
      <c r="A19" s="29" t="s">
        <v>82</v>
      </c>
      <c r="B19" s="32"/>
      <c r="C19" s="33">
        <v>0</v>
      </c>
      <c r="D19" s="33">
        <v>0</v>
      </c>
      <c r="E19" s="33">
        <v>0</v>
      </c>
      <c r="F19" s="31">
        <v>26444</v>
      </c>
      <c r="G19" s="31">
        <v>6511</v>
      </c>
      <c r="H19" s="31">
        <v>2940</v>
      </c>
      <c r="I19" s="31">
        <v>3295</v>
      </c>
      <c r="J19" s="31">
        <v>-5307</v>
      </c>
      <c r="K19" s="33">
        <v>0</v>
      </c>
      <c r="L19" s="33">
        <v>0</v>
      </c>
      <c r="M19" s="54" t="s">
        <v>84</v>
      </c>
      <c r="N19" s="54" t="s">
        <v>84</v>
      </c>
      <c r="O19" s="54" t="s">
        <v>84</v>
      </c>
      <c r="P19" s="54" t="s">
        <v>84</v>
      </c>
      <c r="Q19" s="54" t="s">
        <v>84</v>
      </c>
      <c r="R19" s="54" t="s">
        <v>84</v>
      </c>
      <c r="S19" s="54" t="s">
        <v>84</v>
      </c>
      <c r="T19" s="6"/>
      <c r="U19" s="6"/>
      <c r="V19" s="6"/>
      <c r="W19" s="83" t="s">
        <v>112</v>
      </c>
      <c r="X19" s="85">
        <v>5.6099999999999997E-2</v>
      </c>
      <c r="Y19" s="85">
        <v>4.6100000000000002E-2</v>
      </c>
      <c r="Z19" s="85">
        <v>6.6100000000000006E-2</v>
      </c>
    </row>
    <row r="20" spans="1:26" ht="14.4" x14ac:dyDescent="0.3">
      <c r="A20" s="11" t="s">
        <v>57</v>
      </c>
      <c r="B20" s="12"/>
      <c r="C20" s="13">
        <v>846912</v>
      </c>
      <c r="D20" s="13">
        <v>512951</v>
      </c>
      <c r="E20" s="13">
        <v>720044</v>
      </c>
      <c r="F20" s="14">
        <v>782981</v>
      </c>
      <c r="G20" s="14">
        <v>1177562</v>
      </c>
      <c r="H20" s="14">
        <v>1149692</v>
      </c>
      <c r="I20" s="14">
        <v>1278708</v>
      </c>
      <c r="J20" s="14">
        <v>1477512</v>
      </c>
      <c r="K20" s="14">
        <v>1644817</v>
      </c>
      <c r="L20" s="13">
        <v>1861787</v>
      </c>
      <c r="M20" s="45">
        <f>2221239</f>
        <v>2221239</v>
      </c>
      <c r="N20" s="45">
        <f>N18</f>
        <v>2287876.17</v>
      </c>
      <c r="O20" s="45">
        <f t="shared" ref="O20:S20" si="12">O18</f>
        <v>2356512.4550999994</v>
      </c>
      <c r="P20" s="45">
        <f t="shared" si="12"/>
        <v>2427207.8287529997</v>
      </c>
      <c r="Q20" s="45">
        <f t="shared" si="12"/>
        <v>2500024.0636155894</v>
      </c>
      <c r="R20" s="45">
        <f t="shared" si="12"/>
        <v>2575024.7855240568</v>
      </c>
      <c r="S20" s="45">
        <f t="shared" si="12"/>
        <v>2613650.1573069189</v>
      </c>
      <c r="W20" s="83" t="s">
        <v>113</v>
      </c>
      <c r="X20" s="85">
        <v>0.01</v>
      </c>
      <c r="Y20" s="85">
        <v>5.0000000000000001E-3</v>
      </c>
      <c r="Z20" s="85">
        <v>1.4999999999999999E-2</v>
      </c>
    </row>
    <row r="21" spans="1:26" x14ac:dyDescent="0.25">
      <c r="M21" s="15"/>
    </row>
    <row r="22" spans="1:26" ht="17.399999999999999" x14ac:dyDescent="0.3">
      <c r="A22" s="21" t="s">
        <v>58</v>
      </c>
      <c r="C22" s="22">
        <f>C13</f>
        <v>1389575</v>
      </c>
      <c r="D22" s="22">
        <f t="shared" ref="D22:K22" si="13">D13</f>
        <v>1037759</v>
      </c>
      <c r="E22" s="22">
        <f t="shared" si="13"/>
        <v>1205783</v>
      </c>
      <c r="F22" s="22">
        <f t="shared" si="13"/>
        <v>1274641</v>
      </c>
      <c r="G22" s="22">
        <f t="shared" si="13"/>
        <v>1623664</v>
      </c>
      <c r="H22" s="22">
        <f t="shared" si="13"/>
        <v>1595952</v>
      </c>
      <c r="I22" s="22">
        <f t="shared" si="13"/>
        <v>1782698</v>
      </c>
      <c r="J22" s="22">
        <f t="shared" si="13"/>
        <v>2043722</v>
      </c>
      <c r="K22" s="22">
        <f t="shared" si="13"/>
        <v>2260787</v>
      </c>
      <c r="L22" s="22">
        <f>L13</f>
        <v>2560867</v>
      </c>
      <c r="M22" s="45">
        <f>M13</f>
        <v>2898232</v>
      </c>
      <c r="N22" s="45">
        <f>N13</f>
        <v>2985178.96</v>
      </c>
      <c r="O22" s="45">
        <f t="shared" ref="O22:Q22" si="14">O13</f>
        <v>3074734.3287999993</v>
      </c>
      <c r="P22" s="45">
        <f t="shared" si="14"/>
        <v>3166976.3586639995</v>
      </c>
      <c r="Q22" s="45">
        <f t="shared" si="14"/>
        <v>3261985.6494239196</v>
      </c>
      <c r="R22" s="45">
        <f>R13</f>
        <v>3359845.2189066368</v>
      </c>
      <c r="S22" s="45">
        <f>S13</f>
        <v>3410242.897190237</v>
      </c>
    </row>
    <row r="23" spans="1:26" ht="17.399999999999999" x14ac:dyDescent="0.3">
      <c r="A23" s="21" t="s">
        <v>59</v>
      </c>
      <c r="C23" s="22">
        <f t="shared" ref="C23:K23" si="15">C17*-1</f>
        <v>-459131</v>
      </c>
      <c r="D23" s="22">
        <f t="shared" si="15"/>
        <v>-388896</v>
      </c>
      <c r="E23" s="22">
        <f t="shared" si="15"/>
        <v>-379437</v>
      </c>
      <c r="F23" s="22">
        <f t="shared" si="15"/>
        <v>-354131</v>
      </c>
      <c r="G23" s="22">
        <f t="shared" si="15"/>
        <v>-239010</v>
      </c>
      <c r="H23" s="22">
        <f t="shared" si="15"/>
        <v>-234032</v>
      </c>
      <c r="I23" s="22">
        <f t="shared" si="15"/>
        <v>-219584</v>
      </c>
      <c r="J23" s="22">
        <f t="shared" si="15"/>
        <v>-314405</v>
      </c>
      <c r="K23" s="22">
        <f t="shared" si="15"/>
        <v>-272254</v>
      </c>
      <c r="L23" s="22">
        <f>L17*-1</f>
        <v>-310077</v>
      </c>
      <c r="M23" s="22">
        <f>M17*-1</f>
        <v>-252697</v>
      </c>
      <c r="N23" s="22">
        <f t="shared" ref="N23:S23" si="16">N17*-1</f>
        <v>-260277.91</v>
      </c>
      <c r="O23" s="22">
        <f t="shared" si="16"/>
        <v>-268086.24729999999</v>
      </c>
      <c r="P23" s="22">
        <f t="shared" si="16"/>
        <v>-276128.83471899998</v>
      </c>
      <c r="Q23" s="22">
        <f t="shared" si="16"/>
        <v>-284412.69976057002</v>
      </c>
      <c r="R23" s="22">
        <f t="shared" si="16"/>
        <v>-292945.08075338713</v>
      </c>
      <c r="S23" s="22">
        <f t="shared" si="16"/>
        <v>-297339.2569646879</v>
      </c>
    </row>
    <row r="24" spans="1:26" ht="17.399999999999999" x14ac:dyDescent="0.3">
      <c r="A24" s="21" t="s">
        <v>60</v>
      </c>
      <c r="C24" s="22">
        <f t="shared" ref="C24:K24" si="17">(C14+C15)*C26</f>
        <v>-29236.199999999997</v>
      </c>
      <c r="D24" s="22">
        <f t="shared" si="17"/>
        <v>-47569.2</v>
      </c>
      <c r="E24" s="22">
        <f t="shared" si="17"/>
        <v>-37205.699999999997</v>
      </c>
      <c r="F24" s="22">
        <f t="shared" si="17"/>
        <v>-57390.549999999996</v>
      </c>
      <c r="G24" s="22">
        <f t="shared" si="17"/>
        <v>-44856.63</v>
      </c>
      <c r="H24" s="22">
        <f t="shared" si="17"/>
        <v>-45185.279999999999</v>
      </c>
      <c r="I24" s="22">
        <f t="shared" si="17"/>
        <v>-60417.21</v>
      </c>
      <c r="J24" s="22">
        <f t="shared" si="17"/>
        <v>-51764.579999999994</v>
      </c>
      <c r="K24" s="22">
        <f t="shared" si="17"/>
        <v>-72180.36</v>
      </c>
      <c r="L24" s="22">
        <f>(L14+L15)*L26</f>
        <v>-81690.62999999999</v>
      </c>
      <c r="M24" s="22">
        <f>(M14+M15)*M26</f>
        <v>-89102.16</v>
      </c>
      <c r="N24" s="22">
        <f t="shared" ref="N24:S24" si="18">(N14+N15)*N26</f>
        <v>-91775.224799999996</v>
      </c>
      <c r="O24" s="22">
        <f t="shared" si="18"/>
        <v>-94528.481544000009</v>
      </c>
      <c r="P24" s="22">
        <f t="shared" si="18"/>
        <v>-97364.335990320003</v>
      </c>
      <c r="Q24" s="22">
        <f t="shared" si="18"/>
        <v>-100285.2660700296</v>
      </c>
      <c r="R24" s="22">
        <f>(R14+R15)*R26</f>
        <v>-103293.8240521305</v>
      </c>
      <c r="S24" s="22">
        <f t="shared" si="18"/>
        <v>-104843.23141291244</v>
      </c>
    </row>
    <row r="25" spans="1:26" ht="17.399999999999999" x14ac:dyDescent="0.3">
      <c r="A25" s="21" t="s">
        <v>61</v>
      </c>
      <c r="C25" s="22">
        <f t="shared" ref="C25:K25" si="19">C23+C24</f>
        <v>-488367.2</v>
      </c>
      <c r="D25" s="22">
        <f t="shared" si="19"/>
        <v>-436465.2</v>
      </c>
      <c r="E25" s="22">
        <f t="shared" si="19"/>
        <v>-416642.7</v>
      </c>
      <c r="F25" s="22">
        <f t="shared" si="19"/>
        <v>-411521.55</v>
      </c>
      <c r="G25" s="22">
        <f t="shared" si="19"/>
        <v>-283866.63</v>
      </c>
      <c r="H25" s="22">
        <f t="shared" si="19"/>
        <v>-279217.28000000003</v>
      </c>
      <c r="I25" s="22">
        <f t="shared" si="19"/>
        <v>-280001.21000000002</v>
      </c>
      <c r="J25" s="22">
        <f t="shared" si="19"/>
        <v>-366169.58</v>
      </c>
      <c r="K25" s="22">
        <f t="shared" si="19"/>
        <v>-344434.36</v>
      </c>
      <c r="L25" s="22">
        <f>L23+L24</f>
        <v>-391767.63</v>
      </c>
      <c r="M25" s="22">
        <f>M23+M24</f>
        <v>-341799.16000000003</v>
      </c>
      <c r="N25" s="22">
        <f t="shared" ref="N25:S25" si="20">N23+N24</f>
        <v>-352053.1348</v>
      </c>
      <c r="O25" s="22">
        <f t="shared" si="20"/>
        <v>-362614.72884400003</v>
      </c>
      <c r="P25" s="22">
        <f t="shared" si="20"/>
        <v>-373493.17070931999</v>
      </c>
      <c r="Q25" s="22">
        <f t="shared" si="20"/>
        <v>-384697.9658305996</v>
      </c>
      <c r="R25" s="22">
        <f t="shared" si="20"/>
        <v>-396238.90480551764</v>
      </c>
      <c r="S25" s="22">
        <f t="shared" si="20"/>
        <v>-402182.48837760033</v>
      </c>
    </row>
    <row r="26" spans="1:26" ht="17.399999999999999" x14ac:dyDescent="0.3">
      <c r="A26" s="21" t="s">
        <v>62</v>
      </c>
      <c r="C26" s="23">
        <v>0.35</v>
      </c>
      <c r="D26" s="23">
        <v>0.35</v>
      </c>
      <c r="E26" s="23">
        <v>0.35</v>
      </c>
      <c r="F26" s="23">
        <v>0.35</v>
      </c>
      <c r="G26" s="23">
        <v>0.21</v>
      </c>
      <c r="H26" s="23">
        <v>0.21</v>
      </c>
      <c r="I26" s="23">
        <v>0.21</v>
      </c>
      <c r="J26" s="23">
        <v>0.21</v>
      </c>
      <c r="K26" s="23">
        <v>0.21</v>
      </c>
      <c r="L26" s="23">
        <v>0.21</v>
      </c>
      <c r="M26" s="64">
        <v>0.21</v>
      </c>
      <c r="N26" s="64">
        <v>0.21</v>
      </c>
      <c r="O26" s="64">
        <v>0.21</v>
      </c>
      <c r="P26" s="64">
        <v>0.21</v>
      </c>
      <c r="Q26" s="64">
        <v>0.21</v>
      </c>
      <c r="R26" s="64">
        <v>0.21</v>
      </c>
      <c r="S26" s="64">
        <v>0.21</v>
      </c>
    </row>
    <row r="27" spans="1:26" ht="17.399999999999999" x14ac:dyDescent="0.3">
      <c r="A27" s="21" t="s">
        <v>63</v>
      </c>
      <c r="C27" s="22">
        <f t="shared" ref="C27:L27" si="21">C22+C25</f>
        <v>901207.8</v>
      </c>
      <c r="D27" s="22">
        <f t="shared" si="21"/>
        <v>601293.80000000005</v>
      </c>
      <c r="E27" s="22">
        <f t="shared" si="21"/>
        <v>789140.3</v>
      </c>
      <c r="F27" s="22">
        <f t="shared" si="21"/>
        <v>863119.45</v>
      </c>
      <c r="G27" s="22">
        <f t="shared" si="21"/>
        <v>1339797.3700000001</v>
      </c>
      <c r="H27" s="22">
        <f t="shared" si="21"/>
        <v>1316734.72</v>
      </c>
      <c r="I27" s="22">
        <f t="shared" si="21"/>
        <v>1502696.79</v>
      </c>
      <c r="J27" s="22">
        <f t="shared" si="21"/>
        <v>1677552.42</v>
      </c>
      <c r="K27" s="22">
        <f t="shared" si="21"/>
        <v>1916352.6400000001</v>
      </c>
      <c r="L27" s="22">
        <f t="shared" si="21"/>
        <v>2169099.37</v>
      </c>
      <c r="M27" s="22">
        <f>M22+M25</f>
        <v>2556432.84</v>
      </c>
      <c r="N27" s="22">
        <f t="shared" ref="N27:Q27" si="22">N22+N25</f>
        <v>2633125.8251999998</v>
      </c>
      <c r="O27" s="22">
        <f t="shared" si="22"/>
        <v>2712119.5999559993</v>
      </c>
      <c r="P27" s="22">
        <f t="shared" si="22"/>
        <v>2793483.1879546796</v>
      </c>
      <c r="Q27" s="22">
        <f t="shared" si="22"/>
        <v>2877287.6835933202</v>
      </c>
      <c r="R27" s="22">
        <f>R22+R25</f>
        <v>2963606.3141011191</v>
      </c>
      <c r="S27" s="22">
        <f>S22+S25</f>
        <v>3008060.4088126365</v>
      </c>
    </row>
    <row r="28" spans="1:26" x14ac:dyDescent="0.25">
      <c r="M28" s="15"/>
    </row>
    <row r="29" spans="1:26" x14ac:dyDescent="0.25">
      <c r="M29" s="15"/>
    </row>
    <row r="30" spans="1:26" x14ac:dyDescent="0.25">
      <c r="A30" t="s">
        <v>83</v>
      </c>
      <c r="M30" s="15"/>
    </row>
    <row r="31" spans="1:26" ht="17.399999999999999" x14ac:dyDescent="0.3">
      <c r="A31" s="21" t="s">
        <v>58</v>
      </c>
      <c r="C31" s="22">
        <f t="shared" ref="C31:K31" si="23">C13</f>
        <v>1389575</v>
      </c>
      <c r="D31" s="22">
        <f t="shared" si="23"/>
        <v>1037759</v>
      </c>
      <c r="E31" s="22">
        <f t="shared" si="23"/>
        <v>1205783</v>
      </c>
      <c r="F31" s="22">
        <f t="shared" si="23"/>
        <v>1274641</v>
      </c>
      <c r="G31" s="22">
        <f t="shared" si="23"/>
        <v>1623664</v>
      </c>
      <c r="H31" s="22">
        <f t="shared" si="23"/>
        <v>1595952</v>
      </c>
      <c r="I31" s="22">
        <f t="shared" si="23"/>
        <v>1782698</v>
      </c>
      <c r="J31" s="22">
        <f t="shared" si="23"/>
        <v>2043722</v>
      </c>
      <c r="K31" s="22">
        <f t="shared" si="23"/>
        <v>2260787</v>
      </c>
      <c r="L31" s="22">
        <f>L13</f>
        <v>2560867</v>
      </c>
      <c r="M31" s="22">
        <f>M13</f>
        <v>2898232</v>
      </c>
      <c r="N31" s="22">
        <f>N13</f>
        <v>2985178.96</v>
      </c>
      <c r="O31" s="22">
        <f t="shared" ref="O31:S31" si="24">O13</f>
        <v>3074734.3287999993</v>
      </c>
      <c r="P31" s="22">
        <f t="shared" si="24"/>
        <v>3166976.3586639995</v>
      </c>
      <c r="Q31" s="22">
        <f t="shared" si="24"/>
        <v>3261985.6494239196</v>
      </c>
      <c r="R31" s="22">
        <f t="shared" si="24"/>
        <v>3359845.2189066368</v>
      </c>
      <c r="S31" s="22">
        <f t="shared" si="24"/>
        <v>3410242.897190237</v>
      </c>
    </row>
    <row r="32" spans="1:26" ht="17.399999999999999" x14ac:dyDescent="0.3">
      <c r="A32" s="21" t="s">
        <v>59</v>
      </c>
      <c r="C32" s="22">
        <f t="shared" ref="C32:S32" si="25">C17*-1</f>
        <v>-459131</v>
      </c>
      <c r="D32" s="22">
        <f t="shared" si="25"/>
        <v>-388896</v>
      </c>
      <c r="E32" s="22">
        <f t="shared" si="25"/>
        <v>-379437</v>
      </c>
      <c r="F32" s="22">
        <f t="shared" si="25"/>
        <v>-354131</v>
      </c>
      <c r="G32" s="22">
        <f t="shared" si="25"/>
        <v>-239010</v>
      </c>
      <c r="H32" s="22">
        <f t="shared" si="25"/>
        <v>-234032</v>
      </c>
      <c r="I32" s="22">
        <f t="shared" si="25"/>
        <v>-219584</v>
      </c>
      <c r="J32" s="22">
        <f t="shared" si="25"/>
        <v>-314405</v>
      </c>
      <c r="K32" s="22">
        <f t="shared" si="25"/>
        <v>-272254</v>
      </c>
      <c r="L32" s="22">
        <f t="shared" si="25"/>
        <v>-310077</v>
      </c>
      <c r="M32" s="22">
        <f>M17*-1</f>
        <v>-252697</v>
      </c>
      <c r="N32" s="22">
        <f>N17*-1</f>
        <v>-260277.91</v>
      </c>
      <c r="O32" s="22">
        <f t="shared" si="25"/>
        <v>-268086.24729999999</v>
      </c>
      <c r="P32" s="22">
        <f t="shared" si="25"/>
        <v>-276128.83471899998</v>
      </c>
      <c r="Q32" s="22">
        <f t="shared" si="25"/>
        <v>-284412.69976057002</v>
      </c>
      <c r="R32" s="22">
        <f t="shared" si="25"/>
        <v>-292945.08075338713</v>
      </c>
      <c r="S32" s="22">
        <f t="shared" si="25"/>
        <v>-297339.2569646879</v>
      </c>
    </row>
    <row r="33" spans="1:19" ht="17.399999999999999" x14ac:dyDescent="0.3">
      <c r="A33" s="21" t="s">
        <v>60</v>
      </c>
      <c r="C33" s="22">
        <f t="shared" ref="C33:K33" si="26">C14*C35</f>
        <v>-29236.199999999997</v>
      </c>
      <c r="D33" s="22">
        <f t="shared" si="26"/>
        <v>-37020.549999999996</v>
      </c>
      <c r="E33" s="22">
        <f t="shared" si="26"/>
        <v>-31550.05</v>
      </c>
      <c r="F33" s="22">
        <f t="shared" si="26"/>
        <v>-34398.699999999997</v>
      </c>
      <c r="G33" s="22">
        <f t="shared" si="26"/>
        <v>-29155.77</v>
      </c>
      <c r="H33" s="22">
        <f t="shared" si="26"/>
        <v>-30266.25</v>
      </c>
      <c r="I33" s="22">
        <f t="shared" si="26"/>
        <v>-31368.539999999997</v>
      </c>
      <c r="J33" s="22">
        <f t="shared" si="26"/>
        <v>-26757.57</v>
      </c>
      <c r="K33" s="22">
        <f t="shared" si="26"/>
        <v>-28886.969999999998</v>
      </c>
      <c r="L33" s="22">
        <f>L14*L35</f>
        <v>-31874.85</v>
      </c>
      <c r="M33" s="22">
        <f>M14*M35</f>
        <v>-34787.549999999996</v>
      </c>
      <c r="N33" s="22">
        <f t="shared" ref="N33:S33" si="27">N14*N35</f>
        <v>-35831.176500000001</v>
      </c>
      <c r="O33" s="22">
        <f t="shared" si="27"/>
        <v>-36906.111795000004</v>
      </c>
      <c r="P33" s="22">
        <f t="shared" si="27"/>
        <v>-38013.295148849997</v>
      </c>
      <c r="Q33" s="22">
        <f t="shared" si="27"/>
        <v>-39153.694003315504</v>
      </c>
      <c r="R33" s="22">
        <f t="shared" si="27"/>
        <v>-40328.304823414968</v>
      </c>
      <c r="S33" s="22">
        <f t="shared" si="27"/>
        <v>-40933.22939576619</v>
      </c>
    </row>
    <row r="34" spans="1:19" ht="17.399999999999999" x14ac:dyDescent="0.3">
      <c r="A34" s="21" t="s">
        <v>61</v>
      </c>
      <c r="C34" s="22">
        <f>C32+C33</f>
        <v>-488367.2</v>
      </c>
      <c r="D34" s="22">
        <f t="shared" ref="D34:S34" si="28">D32+D33</f>
        <v>-425916.55</v>
      </c>
      <c r="E34" s="22">
        <f t="shared" si="28"/>
        <v>-410987.05</v>
      </c>
      <c r="F34" s="22">
        <f t="shared" si="28"/>
        <v>-388529.7</v>
      </c>
      <c r="G34" s="22">
        <f t="shared" si="28"/>
        <v>-268165.77</v>
      </c>
      <c r="H34" s="22">
        <f t="shared" si="28"/>
        <v>-264298.25</v>
      </c>
      <c r="I34" s="22">
        <f t="shared" si="28"/>
        <v>-250952.54</v>
      </c>
      <c r="J34" s="22">
        <f t="shared" si="28"/>
        <v>-341162.57</v>
      </c>
      <c r="K34" s="22">
        <f t="shared" si="28"/>
        <v>-301140.96999999997</v>
      </c>
      <c r="L34" s="22">
        <f t="shared" si="28"/>
        <v>-341951.85</v>
      </c>
      <c r="M34" s="22">
        <f t="shared" si="28"/>
        <v>-287484.55</v>
      </c>
      <c r="N34" s="22">
        <f t="shared" si="28"/>
        <v>-296109.08649999998</v>
      </c>
      <c r="O34" s="22">
        <f t="shared" si="28"/>
        <v>-304992.35909499996</v>
      </c>
      <c r="P34" s="22">
        <f t="shared" si="28"/>
        <v>-314142.12986784999</v>
      </c>
      <c r="Q34" s="22">
        <f t="shared" si="28"/>
        <v>-323566.39376388554</v>
      </c>
      <c r="R34" s="22">
        <f t="shared" si="28"/>
        <v>-333273.38557680207</v>
      </c>
      <c r="S34" s="22">
        <f t="shared" si="28"/>
        <v>-338272.48636045412</v>
      </c>
    </row>
    <row r="35" spans="1:19" ht="17.399999999999999" x14ac:dyDescent="0.3">
      <c r="A35" s="21" t="s">
        <v>62</v>
      </c>
      <c r="C35" s="23">
        <v>0.35</v>
      </c>
      <c r="D35" s="23">
        <v>0.35</v>
      </c>
      <c r="E35" s="23">
        <v>0.35</v>
      </c>
      <c r="F35" s="23">
        <v>0.35</v>
      </c>
      <c r="G35" s="23">
        <v>0.21</v>
      </c>
      <c r="H35" s="23">
        <v>0.21</v>
      </c>
      <c r="I35" s="23">
        <v>0.21</v>
      </c>
      <c r="J35" s="23">
        <v>0.21</v>
      </c>
      <c r="K35" s="23">
        <v>0.21</v>
      </c>
      <c r="L35" s="23">
        <v>0.21</v>
      </c>
      <c r="M35" s="23">
        <v>0.21</v>
      </c>
      <c r="N35" s="23">
        <v>0.21</v>
      </c>
      <c r="O35" s="23">
        <v>0.21</v>
      </c>
      <c r="P35" s="23">
        <v>0.21</v>
      </c>
      <c r="Q35" s="23">
        <v>0.21</v>
      </c>
      <c r="R35" s="23">
        <v>0.21</v>
      </c>
      <c r="S35" s="23">
        <v>0.21</v>
      </c>
    </row>
    <row r="36" spans="1:19" ht="17.399999999999999" x14ac:dyDescent="0.3">
      <c r="A36" s="21" t="s">
        <v>63</v>
      </c>
      <c r="C36" s="22">
        <f>C31+C34</f>
        <v>901207.8</v>
      </c>
      <c r="D36" s="22">
        <f>D31+D34</f>
        <v>611842.44999999995</v>
      </c>
      <c r="E36" s="22">
        <f t="shared" ref="E36:K36" si="29">E31+E34</f>
        <v>794795.95</v>
      </c>
      <c r="F36" s="22">
        <f t="shared" si="29"/>
        <v>886111.3</v>
      </c>
      <c r="G36" s="22">
        <f t="shared" si="29"/>
        <v>1355498.23</v>
      </c>
      <c r="H36" s="22">
        <f t="shared" si="29"/>
        <v>1331653.75</v>
      </c>
      <c r="I36" s="22">
        <f t="shared" si="29"/>
        <v>1531745.46</v>
      </c>
      <c r="J36" s="22">
        <f t="shared" si="29"/>
        <v>1702559.43</v>
      </c>
      <c r="K36" s="22">
        <f t="shared" si="29"/>
        <v>1959646.03</v>
      </c>
      <c r="L36" s="22">
        <f>L31+L34</f>
        <v>2218915.15</v>
      </c>
      <c r="M36" s="22">
        <f>M31+M34</f>
        <v>2610747.4500000002</v>
      </c>
      <c r="N36" s="22">
        <f t="shared" ref="N36:S36" si="30">N31+N34</f>
        <v>2689069.8734999998</v>
      </c>
      <c r="O36" s="22">
        <f t="shared" si="30"/>
        <v>2769741.9697049996</v>
      </c>
      <c r="P36" s="22">
        <f t="shared" si="30"/>
        <v>2852834.2287961496</v>
      </c>
      <c r="Q36" s="22">
        <f t="shared" si="30"/>
        <v>2938419.2556600343</v>
      </c>
      <c r="R36" s="22">
        <f t="shared" si="30"/>
        <v>3026571.833329835</v>
      </c>
      <c r="S36" s="22">
        <f t="shared" si="30"/>
        <v>3071970.410829783</v>
      </c>
    </row>
    <row r="40" spans="1:19" ht="15.6" x14ac:dyDescent="0.3">
      <c r="J40" s="108" t="s">
        <v>87</v>
      </c>
      <c r="K40" s="108"/>
      <c r="L40" s="108"/>
      <c r="M40" s="108"/>
      <c r="N40" s="108"/>
      <c r="P40" s="57"/>
    </row>
    <row r="41" spans="1:19" x14ac:dyDescent="0.25">
      <c r="J41" s="86"/>
      <c r="K41" s="68"/>
      <c r="L41" s="68"/>
      <c r="M41" s="71"/>
      <c r="N41" s="68"/>
    </row>
    <row r="42" spans="1:19" x14ac:dyDescent="0.25">
      <c r="J42" s="86" t="s">
        <v>47</v>
      </c>
      <c r="K42" s="68"/>
      <c r="L42" s="68"/>
      <c r="M42" s="77">
        <f>M9/$M$8</f>
        <v>0.52680203990925767</v>
      </c>
      <c r="N42" s="68"/>
    </row>
    <row r="43" spans="1:19" x14ac:dyDescent="0.25">
      <c r="J43" s="87"/>
      <c r="K43" s="68"/>
      <c r="L43" s="68"/>
      <c r="M43" s="77"/>
      <c r="N43" s="68"/>
      <c r="O43" s="57"/>
    </row>
    <row r="44" spans="1:19" x14ac:dyDescent="0.25">
      <c r="J44" s="86" t="s">
        <v>49</v>
      </c>
      <c r="K44" s="68"/>
      <c r="L44" s="68"/>
      <c r="M44" s="77">
        <f t="shared" ref="M44:M53" si="31">M11/$M$8</f>
        <v>0.21188763377542555</v>
      </c>
      <c r="N44" s="68"/>
    </row>
    <row r="45" spans="1:19" x14ac:dyDescent="0.25">
      <c r="J45" s="86" t="s">
        <v>50</v>
      </c>
      <c r="K45" s="68"/>
      <c r="L45" s="68"/>
      <c r="M45" s="77">
        <f t="shared" si="31"/>
        <v>2.591887014257744E-3</v>
      </c>
      <c r="N45" s="68"/>
    </row>
    <row r="46" spans="1:19" x14ac:dyDescent="0.25">
      <c r="J46" s="87"/>
      <c r="K46" s="68"/>
      <c r="L46" s="68"/>
      <c r="M46" s="77"/>
      <c r="N46" s="68"/>
    </row>
    <row r="47" spans="1:19" x14ac:dyDescent="0.25">
      <c r="J47" s="86" t="s">
        <v>52</v>
      </c>
      <c r="K47" s="68"/>
      <c r="L47" s="68"/>
      <c r="M47" s="77">
        <f t="shared" si="31"/>
        <v>-1.4787637105109924E-2</v>
      </c>
      <c r="N47" s="68"/>
    </row>
    <row r="48" spans="1:19" x14ac:dyDescent="0.25">
      <c r="J48" s="86" t="s">
        <v>53</v>
      </c>
      <c r="K48" s="68"/>
      <c r="L48" s="68"/>
      <c r="M48" s="77">
        <f t="shared" si="31"/>
        <v>-2.3088281358864721E-2</v>
      </c>
      <c r="N48" s="68"/>
    </row>
    <row r="49" spans="10:14" x14ac:dyDescent="0.25">
      <c r="J49" s="87"/>
      <c r="K49" s="68"/>
      <c r="L49" s="68"/>
      <c r="M49" s="77"/>
      <c r="N49" s="68"/>
    </row>
    <row r="50" spans="10:14" x14ac:dyDescent="0.25">
      <c r="J50" s="86" t="s">
        <v>55</v>
      </c>
      <c r="K50" s="68"/>
      <c r="L50" s="68"/>
      <c r="M50" s="77">
        <f>M17/$M$8</f>
        <v>2.2557674284204896E-2</v>
      </c>
      <c r="N50" s="68"/>
    </row>
    <row r="51" spans="10:14" x14ac:dyDescent="0.25">
      <c r="J51" s="87" t="s">
        <v>56</v>
      </c>
      <c r="K51" s="68"/>
      <c r="L51" s="68"/>
      <c r="M51" s="77">
        <f t="shared" si="31"/>
        <v>0.19828484655287953</v>
      </c>
      <c r="N51" s="68"/>
    </row>
    <row r="52" spans="10:14" x14ac:dyDescent="0.25">
      <c r="J52" s="86"/>
      <c r="K52" s="68"/>
      <c r="L52" s="68"/>
      <c r="M52" s="77"/>
      <c r="N52" s="68"/>
    </row>
    <row r="53" spans="10:14" x14ac:dyDescent="0.25">
      <c r="J53" s="87" t="s">
        <v>57</v>
      </c>
      <c r="K53" s="68"/>
      <c r="L53" s="68"/>
      <c r="M53" s="77">
        <f t="shared" si="31"/>
        <v>0.19828484655287953</v>
      </c>
      <c r="N53" s="68"/>
    </row>
    <row r="55" spans="10:14" ht="17.399999999999999" x14ac:dyDescent="0.3">
      <c r="J55" s="21"/>
    </row>
    <row r="56" spans="10:14" ht="17.399999999999999" x14ac:dyDescent="0.3">
      <c r="J56" s="21"/>
    </row>
    <row r="57" spans="10:14" ht="17.399999999999999" x14ac:dyDescent="0.3">
      <c r="J57" s="21"/>
    </row>
    <row r="58" spans="10:14" ht="17.399999999999999" x14ac:dyDescent="0.3">
      <c r="J58" s="21"/>
    </row>
    <row r="59" spans="10:14" ht="17.399999999999999" x14ac:dyDescent="0.3">
      <c r="J59" s="21"/>
    </row>
    <row r="60" spans="10:14" ht="17.399999999999999" x14ac:dyDescent="0.3">
      <c r="J60" s="21"/>
    </row>
  </sheetData>
  <sheetProtection formatCells="0" formatColumns="0" formatRows="0" insertColumns="0" insertRows="0" insertHyperlinks="0" deleteColumns="0" deleteRows="0" sort="0" autoFilter="0" pivotTables="0"/>
  <mergeCells count="2">
    <mergeCell ref="J40:N40"/>
    <mergeCell ref="W16:Z1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2173A-597F-4D36-A5BE-7E8EDEDBDFC9}">
  <dimension ref="A1:O22"/>
  <sheetViews>
    <sheetView workbookViewId="0">
      <selection activeCell="C11" sqref="C11"/>
    </sheetView>
  </sheetViews>
  <sheetFormatPr defaultColWidth="11.5546875" defaultRowHeight="13.2" x14ac:dyDescent="0.25"/>
  <cols>
    <col min="2" max="2" width="20.6640625" customWidth="1"/>
    <col min="3" max="3" width="19" customWidth="1"/>
    <col min="4" max="10" width="14.6640625" bestFit="1" customWidth="1"/>
    <col min="12" max="12" width="12.44140625" customWidth="1"/>
  </cols>
  <sheetData>
    <row r="1" spans="1:10" x14ac:dyDescent="0.25">
      <c r="A1" s="58" t="s">
        <v>89</v>
      </c>
      <c r="D1" s="58" t="s">
        <v>90</v>
      </c>
      <c r="E1">
        <v>1</v>
      </c>
      <c r="F1">
        <v>2</v>
      </c>
      <c r="G1">
        <v>3</v>
      </c>
      <c r="H1">
        <v>4</v>
      </c>
      <c r="I1">
        <v>5</v>
      </c>
    </row>
    <row r="2" spans="1:10" x14ac:dyDescent="0.25">
      <c r="D2" s="64">
        <v>2024</v>
      </c>
      <c r="E2" s="64">
        <v>2025</v>
      </c>
      <c r="F2" s="64">
        <v>2026</v>
      </c>
      <c r="G2" s="64">
        <v>2027</v>
      </c>
      <c r="H2" s="64">
        <v>2028</v>
      </c>
      <c r="I2" s="64">
        <v>2029</v>
      </c>
      <c r="J2" s="64" t="s">
        <v>91</v>
      </c>
    </row>
    <row r="3" spans="1:10" x14ac:dyDescent="0.25">
      <c r="A3" s="58" t="s">
        <v>72</v>
      </c>
      <c r="D3" s="67">
        <f>SAISUpper!M8</f>
        <v>11202263</v>
      </c>
      <c r="E3" s="67">
        <f>SAISUpper!N8</f>
        <v>11538330.890000001</v>
      </c>
      <c r="F3" s="67">
        <f>SAISUpper!O8</f>
        <v>11884480.8167</v>
      </c>
      <c r="G3" s="67">
        <f>SAISUpper!P8</f>
        <v>12241015.241201</v>
      </c>
      <c r="H3" s="67">
        <f>SAISUpper!Q8</f>
        <v>12608245.698437031</v>
      </c>
      <c r="I3" s="67">
        <f>SAISUpper!R8</f>
        <v>12986493.069390142</v>
      </c>
      <c r="J3" s="67">
        <f>SAISUpper!S8</f>
        <v>13181290.465430994</v>
      </c>
    </row>
    <row r="4" spans="1:10" x14ac:dyDescent="0.25">
      <c r="A4" s="58" t="s">
        <v>63</v>
      </c>
      <c r="D4" s="67">
        <f>SABSUpper!AF44</f>
        <v>2610747.4500000002</v>
      </c>
      <c r="E4" s="67">
        <f>SABSUpper!AG44</f>
        <v>2689069.8734999998</v>
      </c>
      <c r="F4" s="67">
        <f>SABSUpper!AH44</f>
        <v>2769741.9697049996</v>
      </c>
      <c r="G4" s="67">
        <f>SABSUpper!AI44</f>
        <v>2852834.2287961496</v>
      </c>
      <c r="H4" s="67">
        <f>SABSUpper!AJ44</f>
        <v>2938419.2556600343</v>
      </c>
      <c r="I4" s="67">
        <f>SABSUpper!AK44</f>
        <v>3026571.833329835</v>
      </c>
      <c r="J4" s="67">
        <f>SABSUpper!AL44</f>
        <v>3071970.410829783</v>
      </c>
    </row>
    <row r="5" spans="1:10" x14ac:dyDescent="0.25">
      <c r="A5" s="58" t="s">
        <v>66</v>
      </c>
      <c r="D5" s="67">
        <f>SABSUpper!AF45</f>
        <v>9086059</v>
      </c>
      <c r="E5" s="67">
        <f>SABSUpper!AG45</f>
        <v>9358640.7699999996</v>
      </c>
      <c r="F5" s="67">
        <f>SABSUpper!AH45</f>
        <v>9639399.9931000024</v>
      </c>
      <c r="G5" s="67">
        <f>SABSUpper!AI45</f>
        <v>9928581.9928930011</v>
      </c>
      <c r="H5" s="67">
        <f>SABSUpper!AJ45</f>
        <v>10226439.452679792</v>
      </c>
      <c r="I5" s="67">
        <f>SABSUpper!AK45</f>
        <v>10533232.636260185</v>
      </c>
      <c r="J5" s="67">
        <f>SABSUpper!AL45</f>
        <v>10691231.125804085</v>
      </c>
    </row>
    <row r="6" spans="1:10" x14ac:dyDescent="0.25">
      <c r="A6" s="58"/>
      <c r="D6" s="67"/>
      <c r="E6" s="67"/>
      <c r="F6" s="67"/>
      <c r="G6" s="67"/>
      <c r="H6" s="67"/>
      <c r="I6" s="67"/>
      <c r="J6" s="15"/>
    </row>
    <row r="7" spans="1:10" x14ac:dyDescent="0.25">
      <c r="A7" s="58" t="s">
        <v>92</v>
      </c>
      <c r="D7" s="67"/>
      <c r="E7" s="67">
        <f t="shared" ref="E7:J7" si="0">E4-(D5*6.61%)</f>
        <v>2088481.3735999996</v>
      </c>
      <c r="F7" s="67">
        <f t="shared" si="0"/>
        <v>2151135.8148079994</v>
      </c>
      <c r="G7" s="67">
        <f t="shared" si="0"/>
        <v>2215669.8892522394</v>
      </c>
      <c r="H7" s="67">
        <f t="shared" si="0"/>
        <v>2282139.9859298067</v>
      </c>
      <c r="I7" s="67">
        <f t="shared" si="0"/>
        <v>2350604.1855077008</v>
      </c>
      <c r="J7" s="67">
        <f t="shared" si="0"/>
        <v>2375723.7335729846</v>
      </c>
    </row>
    <row r="8" spans="1:10" x14ac:dyDescent="0.25">
      <c r="A8" s="58" t="s">
        <v>93</v>
      </c>
      <c r="D8" s="67"/>
      <c r="E8" s="66">
        <f>(1/(1+6.61%)^E1)</f>
        <v>0.93799831160303904</v>
      </c>
      <c r="F8" s="66">
        <f>(1/(1+6.61%)^F1)</f>
        <v>0.87984083257015211</v>
      </c>
      <c r="G8" s="66">
        <f>(1/(1+6.61%)^G1)</f>
        <v>0.82528921543021483</v>
      </c>
      <c r="H8" s="66">
        <f>(1/(1+6.61%)^H1)</f>
        <v>0.77411989065773834</v>
      </c>
      <c r="I8" s="66">
        <f>(1/(1+6.61%)^I1)</f>
        <v>0.72612315041528774</v>
      </c>
      <c r="J8" s="15"/>
    </row>
    <row r="9" spans="1:10" x14ac:dyDescent="0.25">
      <c r="A9" s="58" t="s">
        <v>94</v>
      </c>
      <c r="D9" s="67"/>
      <c r="E9" s="67">
        <f>E8*E7</f>
        <v>1958992.0022511955</v>
      </c>
      <c r="F9" s="67">
        <f>F8*F7</f>
        <v>1892657.1262721426</v>
      </c>
      <c r="G9" s="67">
        <f t="shared" ref="G9:H9" si="1">G8*G7</f>
        <v>1828568.4645533317</v>
      </c>
      <c r="H9" s="67">
        <f t="shared" si="1"/>
        <v>1766649.9563736345</v>
      </c>
      <c r="I9" s="67">
        <f>I8*I7</f>
        <v>1706828.116560213</v>
      </c>
      <c r="J9" s="15"/>
    </row>
    <row r="10" spans="1:10" x14ac:dyDescent="0.25">
      <c r="A10" s="58" t="s">
        <v>105</v>
      </c>
      <c r="C10" s="15">
        <f>SUM(E9:I9)</f>
        <v>9153695.6660105176</v>
      </c>
      <c r="D10" s="67"/>
      <c r="E10" s="67"/>
      <c r="F10" s="67"/>
      <c r="G10" s="67"/>
      <c r="H10" s="67"/>
      <c r="I10" s="67"/>
      <c r="J10" s="15"/>
    </row>
    <row r="11" spans="1:10" x14ac:dyDescent="0.25">
      <c r="A11" s="58" t="s">
        <v>95</v>
      </c>
      <c r="C11" s="15">
        <f>(J7/(6.61%-3%))/(1+6.61%)^6</f>
        <v>44823015.878632508</v>
      </c>
      <c r="D11" s="67"/>
      <c r="E11" s="67"/>
      <c r="F11" s="67"/>
      <c r="G11" s="67"/>
      <c r="H11" s="67"/>
      <c r="I11" s="67"/>
      <c r="J11" s="15"/>
    </row>
    <row r="12" spans="1:10" x14ac:dyDescent="0.25">
      <c r="A12" s="58" t="s">
        <v>96</v>
      </c>
      <c r="C12" s="15">
        <f>D5</f>
        <v>9086059</v>
      </c>
      <c r="D12" s="67"/>
      <c r="E12" s="67"/>
      <c r="F12" s="67"/>
      <c r="G12" s="67"/>
      <c r="H12" s="67"/>
      <c r="I12" s="67"/>
      <c r="J12" s="15"/>
    </row>
    <row r="13" spans="1:10" x14ac:dyDescent="0.25">
      <c r="A13" s="58" t="s">
        <v>97</v>
      </c>
      <c r="C13" s="15">
        <f>SUM(C10:C12)</f>
        <v>63062770.54464303</v>
      </c>
      <c r="D13" s="67"/>
      <c r="E13" s="67"/>
      <c r="F13" s="67"/>
      <c r="G13" s="67"/>
      <c r="H13" s="67"/>
      <c r="I13" s="67"/>
      <c r="J13" s="15"/>
    </row>
    <row r="14" spans="1:10" x14ac:dyDescent="0.25">
      <c r="D14" s="67"/>
      <c r="E14" s="67"/>
      <c r="F14" s="67"/>
      <c r="G14" s="67"/>
      <c r="H14" s="67"/>
      <c r="I14" s="67"/>
      <c r="J14" s="15"/>
    </row>
    <row r="15" spans="1:10" x14ac:dyDescent="0.25">
      <c r="A15" s="58" t="s">
        <v>98</v>
      </c>
      <c r="C15" s="67">
        <f>SABSUpper!AF46</f>
        <v>4371405</v>
      </c>
      <c r="D15" s="67"/>
      <c r="E15" s="67"/>
      <c r="F15" s="67"/>
      <c r="G15" s="67"/>
      <c r="H15" s="67"/>
      <c r="I15" s="67"/>
      <c r="J15" s="15"/>
    </row>
    <row r="16" spans="1:10" x14ac:dyDescent="0.25">
      <c r="A16" s="58" t="s">
        <v>99</v>
      </c>
      <c r="C16">
        <v>0</v>
      </c>
      <c r="D16" s="67"/>
      <c r="E16" s="67"/>
      <c r="F16" s="67"/>
      <c r="G16" s="67"/>
      <c r="H16" s="67"/>
      <c r="I16" s="67"/>
      <c r="J16" s="15"/>
    </row>
    <row r="17" spans="1:15" ht="14.4" x14ac:dyDescent="0.3">
      <c r="A17" s="58" t="s">
        <v>100</v>
      </c>
      <c r="C17">
        <v>0</v>
      </c>
      <c r="D17" s="67"/>
      <c r="E17" s="67"/>
      <c r="F17" s="67"/>
      <c r="G17" s="67"/>
      <c r="H17" s="67"/>
      <c r="I17" s="67"/>
      <c r="J17" s="15"/>
      <c r="L17" s="111" t="s">
        <v>107</v>
      </c>
      <c r="M17" s="111"/>
      <c r="N17" s="111"/>
      <c r="O17" s="111"/>
    </row>
    <row r="18" spans="1:15" ht="14.4" x14ac:dyDescent="0.3">
      <c r="D18" s="67"/>
      <c r="E18" s="67"/>
      <c r="F18" s="67"/>
      <c r="G18" s="67"/>
      <c r="H18" s="67"/>
      <c r="I18" s="67"/>
      <c r="J18" s="15"/>
      <c r="M18" s="82" t="s">
        <v>108</v>
      </c>
      <c r="N18" s="82" t="s">
        <v>109</v>
      </c>
      <c r="O18" s="82" t="s">
        <v>110</v>
      </c>
    </row>
    <row r="19" spans="1:15" ht="14.4" x14ac:dyDescent="0.3">
      <c r="A19" s="58" t="s">
        <v>106</v>
      </c>
      <c r="C19" s="15">
        <f>C13-SUM(C15:C17)</f>
        <v>58691365.54464303</v>
      </c>
      <c r="D19" s="67"/>
      <c r="E19" s="67"/>
      <c r="F19" s="67"/>
      <c r="G19" s="67"/>
      <c r="H19" s="67"/>
      <c r="I19" s="67"/>
      <c r="J19" s="15"/>
      <c r="L19" s="83" t="s">
        <v>111</v>
      </c>
      <c r="M19" s="85">
        <v>0.02</v>
      </c>
      <c r="N19" s="85">
        <v>0.01</v>
      </c>
      <c r="O19" s="85">
        <v>0.03</v>
      </c>
    </row>
    <row r="20" spans="1:15" ht="14.4" x14ac:dyDescent="0.3">
      <c r="A20" s="58" t="s">
        <v>101</v>
      </c>
      <c r="C20" s="15">
        <v>58691366000</v>
      </c>
      <c r="D20" s="97" t="s">
        <v>132</v>
      </c>
      <c r="E20" s="67"/>
      <c r="F20" s="67"/>
      <c r="G20" s="67"/>
      <c r="H20" s="67"/>
      <c r="I20" s="67"/>
      <c r="J20" s="15"/>
      <c r="L20" s="83" t="s">
        <v>112</v>
      </c>
      <c r="M20" s="85">
        <v>5.6099999999999997E-2</v>
      </c>
      <c r="N20" s="85">
        <v>4.6100000000000002E-2</v>
      </c>
      <c r="O20" s="85">
        <v>6.6100000000000006E-2</v>
      </c>
    </row>
    <row r="21" spans="1:15" ht="14.4" x14ac:dyDescent="0.3">
      <c r="A21" s="58" t="s">
        <v>102</v>
      </c>
      <c r="C21" s="17">
        <v>202960000</v>
      </c>
      <c r="D21" s="97" t="s">
        <v>132</v>
      </c>
      <c r="E21" s="67"/>
      <c r="F21" s="67"/>
      <c r="G21" s="67"/>
      <c r="H21" s="67"/>
      <c r="I21" s="67"/>
      <c r="J21" s="15"/>
      <c r="L21" s="83" t="s">
        <v>113</v>
      </c>
      <c r="M21" s="85">
        <v>0.01</v>
      </c>
      <c r="N21" s="85">
        <v>5.0000000000000001E-3</v>
      </c>
      <c r="O21" s="85">
        <v>1.4999999999999999E-2</v>
      </c>
    </row>
    <row r="22" spans="1:15" x14ac:dyDescent="0.25">
      <c r="A22" s="58" t="s">
        <v>103</v>
      </c>
      <c r="C22" s="57">
        <f>(C20/C21)</f>
        <v>289.17701024832479</v>
      </c>
      <c r="D22" s="67"/>
      <c r="E22" s="67"/>
      <c r="F22" s="67"/>
      <c r="G22" s="67"/>
      <c r="H22" s="67"/>
      <c r="I22" s="67"/>
      <c r="J22" s="15"/>
    </row>
  </sheetData>
  <mergeCells count="1">
    <mergeCell ref="L17:O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89"/>
  <sheetViews>
    <sheetView topLeftCell="N1" zoomScale="80" zoomScaleNormal="80" workbookViewId="0">
      <selection activeCell="AL7" sqref="AL7"/>
    </sheetView>
  </sheetViews>
  <sheetFormatPr defaultColWidth="8.77734375" defaultRowHeight="13.2" x14ac:dyDescent="0.25"/>
  <cols>
    <col min="1" max="1" width="53.6640625" bestFit="1" customWidth="1"/>
    <col min="3" max="3" width="12.6640625" customWidth="1"/>
    <col min="4" max="6" width="11.6640625" customWidth="1"/>
    <col min="7" max="7" width="12.109375" customWidth="1"/>
    <col min="8" max="9" width="11.6640625" customWidth="1"/>
    <col min="10" max="11" width="12.6640625" customWidth="1"/>
    <col min="12" max="12" width="22.77734375" customWidth="1"/>
    <col min="13" max="13" width="18.6640625" style="41" customWidth="1"/>
    <col min="14" max="14" width="14.6640625" style="41" customWidth="1"/>
    <col min="15" max="15" width="15.109375" style="41" customWidth="1"/>
    <col min="16" max="16" width="14.44140625" style="41" customWidth="1"/>
    <col min="17" max="17" width="16.109375" style="41" customWidth="1"/>
    <col min="18" max="18" width="15.77734375" style="41" customWidth="1"/>
    <col min="19" max="19" width="15.33203125" style="41" customWidth="1"/>
    <col min="20" max="21" width="12" customWidth="1"/>
    <col min="22" max="31" width="12" hidden="1" customWidth="1"/>
    <col min="32" max="37" width="12" customWidth="1"/>
    <col min="38" max="38" width="13.33203125" customWidth="1"/>
    <col min="39" max="189" width="12" customWidth="1"/>
  </cols>
  <sheetData>
    <row r="1" spans="1:38" x14ac:dyDescent="0.25">
      <c r="L1" s="90" t="s">
        <v>88</v>
      </c>
      <c r="M1" s="80">
        <v>2024</v>
      </c>
      <c r="N1" s="80">
        <v>2025</v>
      </c>
      <c r="O1" s="80">
        <v>2026</v>
      </c>
      <c r="P1" s="80">
        <v>2027</v>
      </c>
      <c r="Q1" s="80">
        <v>2028</v>
      </c>
      <c r="R1" s="80">
        <v>2029</v>
      </c>
      <c r="S1" s="104" t="s">
        <v>91</v>
      </c>
    </row>
    <row r="2" spans="1:38" x14ac:dyDescent="0.25">
      <c r="L2" s="80"/>
      <c r="M2" s="81">
        <v>11202263</v>
      </c>
      <c r="N2" s="81">
        <f>M2*(1+2%)</f>
        <v>11426308.26</v>
      </c>
      <c r="O2" s="81">
        <f t="shared" ref="O2:R2" si="0">N2*(1+2%)</f>
        <v>11654834.4252</v>
      </c>
      <c r="P2" s="81">
        <f t="shared" si="0"/>
        <v>11887931.113704002</v>
      </c>
      <c r="Q2" s="81">
        <f t="shared" si="0"/>
        <v>12125689.735978082</v>
      </c>
      <c r="R2" s="81">
        <f t="shared" si="0"/>
        <v>12368203.530697644</v>
      </c>
      <c r="S2" s="81">
        <f>R2*(1+1%)</f>
        <v>12491885.566004621</v>
      </c>
    </row>
    <row r="4" spans="1:38" ht="21" x14ac:dyDescent="0.4">
      <c r="A4" s="1" t="s">
        <v>0</v>
      </c>
      <c r="AG4" s="58"/>
    </row>
    <row r="5" spans="1:38" x14ac:dyDescent="0.25">
      <c r="A5" s="2" t="s">
        <v>1</v>
      </c>
      <c r="C5" s="4" t="s">
        <v>11</v>
      </c>
      <c r="D5" s="4" t="s">
        <v>10</v>
      </c>
      <c r="E5" s="4" t="s">
        <v>9</v>
      </c>
      <c r="F5" s="4" t="s">
        <v>8</v>
      </c>
      <c r="G5" s="4" t="s">
        <v>7</v>
      </c>
      <c r="H5" s="4" t="s">
        <v>6</v>
      </c>
      <c r="I5" s="4" t="s">
        <v>5</v>
      </c>
      <c r="J5" s="4" t="s">
        <v>4</v>
      </c>
      <c r="K5" s="4" t="s">
        <v>3</v>
      </c>
      <c r="L5" s="4" t="s">
        <v>2</v>
      </c>
      <c r="M5" s="52">
        <v>45657</v>
      </c>
      <c r="N5" s="52">
        <v>46022</v>
      </c>
      <c r="O5" s="52">
        <v>46387</v>
      </c>
      <c r="P5" s="52">
        <v>46752</v>
      </c>
      <c r="Q5" s="52">
        <v>47118</v>
      </c>
      <c r="R5" s="52">
        <v>47483</v>
      </c>
      <c r="S5" s="103" t="s">
        <v>91</v>
      </c>
      <c r="AG5" s="68"/>
      <c r="AH5" s="68"/>
      <c r="AI5" s="68"/>
      <c r="AJ5" s="68"/>
      <c r="AK5" s="68"/>
      <c r="AL5" s="68"/>
    </row>
    <row r="6" spans="1:38" x14ac:dyDescent="0.25">
      <c r="A6" s="3" t="s">
        <v>12</v>
      </c>
      <c r="C6" s="43" t="s">
        <v>13</v>
      </c>
      <c r="D6" s="43" t="s">
        <v>13</v>
      </c>
      <c r="E6" s="43" t="s">
        <v>13</v>
      </c>
      <c r="F6" s="43" t="s">
        <v>13</v>
      </c>
      <c r="G6" s="43" t="s">
        <v>13</v>
      </c>
      <c r="H6" s="43" t="s">
        <v>13</v>
      </c>
      <c r="I6" s="43" t="s">
        <v>13</v>
      </c>
      <c r="J6" s="43" t="s">
        <v>13</v>
      </c>
      <c r="K6" s="43" t="s">
        <v>13</v>
      </c>
      <c r="L6" s="43" t="s">
        <v>13</v>
      </c>
      <c r="M6" s="44" t="s">
        <v>13</v>
      </c>
      <c r="N6" s="44"/>
      <c r="O6" s="44"/>
      <c r="P6" s="44"/>
      <c r="Q6" s="44"/>
      <c r="R6" s="44"/>
      <c r="S6" s="44"/>
      <c r="V6">
        <v>2014</v>
      </c>
      <c r="W6">
        <v>2015</v>
      </c>
      <c r="X6">
        <v>2016</v>
      </c>
      <c r="Y6">
        <v>2017</v>
      </c>
      <c r="Z6">
        <v>2018</v>
      </c>
      <c r="AA6">
        <v>2019</v>
      </c>
      <c r="AB6">
        <v>2020</v>
      </c>
      <c r="AC6">
        <v>2021</v>
      </c>
      <c r="AD6">
        <v>2022</v>
      </c>
      <c r="AE6">
        <v>2023</v>
      </c>
      <c r="AF6">
        <v>2024</v>
      </c>
      <c r="AG6" s="69">
        <v>2025</v>
      </c>
      <c r="AH6" s="69">
        <v>2026</v>
      </c>
      <c r="AI6" s="69">
        <v>2027</v>
      </c>
      <c r="AJ6" s="69">
        <v>2028</v>
      </c>
      <c r="AK6" s="69">
        <v>2029</v>
      </c>
      <c r="AL6" s="102" t="s">
        <v>104</v>
      </c>
    </row>
    <row r="7" spans="1:38" x14ac:dyDescent="0.25">
      <c r="A7" s="3" t="s">
        <v>14</v>
      </c>
      <c r="C7" s="43" t="s">
        <v>15</v>
      </c>
      <c r="D7" s="43" t="s">
        <v>15</v>
      </c>
      <c r="E7" s="43" t="s">
        <v>15</v>
      </c>
      <c r="F7" s="43" t="s">
        <v>15</v>
      </c>
      <c r="G7" s="43" t="s">
        <v>15</v>
      </c>
      <c r="H7" s="43" t="s">
        <v>15</v>
      </c>
      <c r="I7" s="43" t="s">
        <v>15</v>
      </c>
      <c r="J7" s="43" t="s">
        <v>15</v>
      </c>
      <c r="K7" s="43" t="s">
        <v>15</v>
      </c>
      <c r="L7" s="43" t="s">
        <v>15</v>
      </c>
      <c r="M7" s="44" t="s">
        <v>15</v>
      </c>
      <c r="N7" s="44"/>
      <c r="O7" s="44"/>
      <c r="P7" s="44"/>
      <c r="Q7" s="44"/>
      <c r="R7" s="44"/>
      <c r="S7" s="44"/>
      <c r="T7" t="s">
        <v>64</v>
      </c>
      <c r="V7" s="16">
        <f t="shared" ref="V7:AH7" si="1">C9+C10+C11+C13+C14+C15+C16+C17</f>
        <v>5057016</v>
      </c>
      <c r="W7" s="16">
        <f t="shared" si="1"/>
        <v>4997842</v>
      </c>
      <c r="X7" s="16">
        <f t="shared" si="1"/>
        <v>5227366</v>
      </c>
      <c r="Y7" s="16">
        <f t="shared" si="1"/>
        <v>5173547</v>
      </c>
      <c r="Z7" s="16">
        <f t="shared" si="1"/>
        <v>7115022</v>
      </c>
      <c r="AA7" s="16">
        <f t="shared" si="1"/>
        <v>7647133</v>
      </c>
      <c r="AB7" s="16">
        <f t="shared" si="1"/>
        <v>7987858</v>
      </c>
      <c r="AC7" s="16">
        <f t="shared" si="1"/>
        <v>10082965</v>
      </c>
      <c r="AD7" s="16">
        <f t="shared" si="1"/>
        <v>10484931</v>
      </c>
      <c r="AE7" s="16">
        <f t="shared" si="1"/>
        <v>11501039</v>
      </c>
      <c r="AF7" s="16">
        <f t="shared" si="1"/>
        <v>12216115</v>
      </c>
      <c r="AG7" s="70">
        <f t="shared" si="1"/>
        <v>12460437.300000001</v>
      </c>
      <c r="AH7" s="70">
        <f t="shared" si="1"/>
        <v>12709646.046</v>
      </c>
      <c r="AI7" s="70">
        <f t="shared" ref="AI7:AJ7" si="2">P9+P10+P11+P13+P14+P15+P16+P17</f>
        <v>12963838.966920003</v>
      </c>
      <c r="AJ7" s="70">
        <f t="shared" si="2"/>
        <v>13223115.746258402</v>
      </c>
      <c r="AK7" s="70">
        <f>R9+R10+R11+R13+R14+R15+R16+R17</f>
        <v>13487578.06118357</v>
      </c>
      <c r="AL7" s="70">
        <f>S9+S10+S11+S13+S14+S15+S16+S17</f>
        <v>13622453.841795405</v>
      </c>
    </row>
    <row r="8" spans="1:38" x14ac:dyDescent="0.25">
      <c r="A8" s="29" t="s">
        <v>16</v>
      </c>
      <c r="B8" s="30"/>
      <c r="C8" s="31">
        <v>471985</v>
      </c>
      <c r="D8" s="31">
        <v>346529</v>
      </c>
      <c r="E8" s="31">
        <v>296967</v>
      </c>
      <c r="F8" s="31">
        <v>380179</v>
      </c>
      <c r="G8" s="31">
        <v>587998</v>
      </c>
      <c r="H8" s="31">
        <v>493262</v>
      </c>
      <c r="I8" s="31">
        <v>1143987</v>
      </c>
      <c r="J8" s="31">
        <v>329266</v>
      </c>
      <c r="K8" s="31">
        <v>463889</v>
      </c>
      <c r="L8" s="31">
        <v>401902</v>
      </c>
      <c r="M8" s="31">
        <v>730746</v>
      </c>
      <c r="N8" s="31">
        <f>M42*$N$2</f>
        <v>745360.91999999993</v>
      </c>
      <c r="O8" s="31">
        <f>M42*$O$2</f>
        <v>760268.13839999994</v>
      </c>
      <c r="P8" s="31">
        <f>M42*$P$2</f>
        <v>775473.50116800005</v>
      </c>
      <c r="Q8" s="31">
        <f>M42*$Q$2</f>
        <v>790982.97119136003</v>
      </c>
      <c r="R8" s="31">
        <f>M42*$R$2</f>
        <v>806802.63061518734</v>
      </c>
      <c r="S8" s="31">
        <f>M42*$S$2</f>
        <v>814870.65692133922</v>
      </c>
      <c r="T8" t="s">
        <v>65</v>
      </c>
      <c r="V8" s="16">
        <f t="shared" ref="V8:AF8" si="3">C19+C20+C21+C26+C27</f>
        <v>1925522</v>
      </c>
      <c r="W8" s="16">
        <f t="shared" si="3"/>
        <v>1876382</v>
      </c>
      <c r="X8" s="16">
        <f t="shared" si="3"/>
        <v>1716477</v>
      </c>
      <c r="Y8" s="16">
        <f t="shared" si="3"/>
        <v>1701681</v>
      </c>
      <c r="Z8" s="16">
        <f t="shared" si="3"/>
        <v>1838158</v>
      </c>
      <c r="AA8" s="16">
        <f t="shared" si="3"/>
        <v>2128916</v>
      </c>
      <c r="AB8" s="16">
        <f t="shared" si="3"/>
        <v>2291337</v>
      </c>
      <c r="AC8" s="16">
        <f t="shared" si="3"/>
        <v>2626108</v>
      </c>
      <c r="AD8" s="16">
        <f t="shared" si="3"/>
        <v>2857931</v>
      </c>
      <c r="AE8" s="16">
        <f t="shared" si="3"/>
        <v>2989826</v>
      </c>
      <c r="AF8" s="16">
        <f t="shared" si="3"/>
        <v>3130056</v>
      </c>
      <c r="AG8" s="70">
        <f t="shared" ref="AG8:AL8" si="4">N19+N20+N21+N26+N27</f>
        <v>3192657.1199999996</v>
      </c>
      <c r="AH8" s="70">
        <f t="shared" si="4"/>
        <v>3256510.2624000004</v>
      </c>
      <c r="AI8" s="70">
        <f t="shared" si="4"/>
        <v>3321640.4676480005</v>
      </c>
      <c r="AJ8" s="70">
        <f t="shared" si="4"/>
        <v>3388073.2770009604</v>
      </c>
      <c r="AK8" s="70">
        <f t="shared" si="4"/>
        <v>3455834.7425409802</v>
      </c>
      <c r="AL8" s="70">
        <f t="shared" si="4"/>
        <v>3490393.0899663898</v>
      </c>
    </row>
    <row r="9" spans="1:38" x14ac:dyDescent="0.25">
      <c r="A9" s="25" t="s">
        <v>17</v>
      </c>
      <c r="B9" s="26"/>
      <c r="C9" s="27">
        <v>596940</v>
      </c>
      <c r="D9" s="27">
        <v>599073</v>
      </c>
      <c r="E9" s="27">
        <v>581381</v>
      </c>
      <c r="F9" s="27">
        <v>588262</v>
      </c>
      <c r="G9" s="27">
        <v>594145</v>
      </c>
      <c r="H9" s="27">
        <v>568509</v>
      </c>
      <c r="I9" s="27">
        <v>615233</v>
      </c>
      <c r="J9" s="27">
        <v>671464</v>
      </c>
      <c r="K9" s="27">
        <v>711203</v>
      </c>
      <c r="L9" s="27">
        <v>823617</v>
      </c>
      <c r="M9" s="47">
        <v>800402</v>
      </c>
      <c r="N9" s="47">
        <f>M43*$N$2</f>
        <v>816410.04</v>
      </c>
      <c r="O9" s="60">
        <f>M43*$O$2</f>
        <v>832738.24080000003</v>
      </c>
      <c r="P9" s="60">
        <f>M43*$P$2</f>
        <v>849393.00561600015</v>
      </c>
      <c r="Q9" s="60">
        <f>M43*$Q$2</f>
        <v>866380.86572832009</v>
      </c>
      <c r="R9" s="60">
        <f>M43*$R$2</f>
        <v>883708.4830428866</v>
      </c>
      <c r="S9" s="60">
        <f>M43*$S$2</f>
        <v>892545.56787331542</v>
      </c>
      <c r="T9" t="s">
        <v>66</v>
      </c>
      <c r="V9" s="16">
        <f>V7-V8</f>
        <v>3131494</v>
      </c>
      <c r="W9" s="16">
        <f t="shared" ref="W9:AD9" si="5">W7-W8</f>
        <v>3121460</v>
      </c>
      <c r="X9" s="16">
        <f t="shared" si="5"/>
        <v>3510889</v>
      </c>
      <c r="Y9" s="16">
        <f t="shared" si="5"/>
        <v>3471866</v>
      </c>
      <c r="Z9" s="16">
        <f t="shared" si="5"/>
        <v>5276864</v>
      </c>
      <c r="AA9" s="16">
        <f t="shared" si="5"/>
        <v>5518217</v>
      </c>
      <c r="AB9" s="16">
        <f t="shared" si="5"/>
        <v>5696521</v>
      </c>
      <c r="AC9" s="16">
        <f t="shared" si="5"/>
        <v>7456857</v>
      </c>
      <c r="AD9" s="16">
        <f t="shared" si="5"/>
        <v>7627000</v>
      </c>
      <c r="AE9" s="16">
        <f>AE7-AE8</f>
        <v>8511213</v>
      </c>
      <c r="AF9" s="16">
        <f>AF7-AF8</f>
        <v>9086059</v>
      </c>
      <c r="AG9" s="70">
        <f t="shared" ref="AG9:AL9" si="6">AG7-AG8</f>
        <v>9267780.1800000016</v>
      </c>
      <c r="AH9" s="70">
        <f t="shared" si="6"/>
        <v>9453135.7835999988</v>
      </c>
      <c r="AI9" s="70">
        <f t="shared" si="6"/>
        <v>9642198.4992720038</v>
      </c>
      <c r="AJ9" s="70">
        <f t="shared" si="6"/>
        <v>9835042.4692574423</v>
      </c>
      <c r="AK9" s="70">
        <f t="shared" si="6"/>
        <v>10031743.31864259</v>
      </c>
      <c r="AL9" s="70">
        <f t="shared" si="6"/>
        <v>10132060.751829015</v>
      </c>
    </row>
    <row r="10" spans="1:38" x14ac:dyDescent="0.25">
      <c r="A10" s="25" t="s">
        <v>18</v>
      </c>
      <c r="B10" s="26"/>
      <c r="C10" s="27">
        <v>801036</v>
      </c>
      <c r="D10" s="27">
        <v>750970</v>
      </c>
      <c r="E10" s="27">
        <v>745678</v>
      </c>
      <c r="F10" s="27">
        <v>752836</v>
      </c>
      <c r="G10" s="27">
        <v>784879</v>
      </c>
      <c r="H10" s="27">
        <v>815251</v>
      </c>
      <c r="I10" s="27">
        <v>964207</v>
      </c>
      <c r="J10" s="27">
        <v>988511</v>
      </c>
      <c r="K10" s="27">
        <v>1173119</v>
      </c>
      <c r="L10" s="27">
        <v>1340996</v>
      </c>
      <c r="M10" s="47">
        <v>1254094</v>
      </c>
      <c r="N10" s="47">
        <f>M44*$N$2</f>
        <v>1279175.8800000001</v>
      </c>
      <c r="O10" s="60">
        <f>M44*$O$2</f>
        <v>1304759.3976</v>
      </c>
      <c r="P10" s="60">
        <f>M44*$P$2</f>
        <v>1330854.5855520002</v>
      </c>
      <c r="Q10" s="60">
        <f t="shared" ref="Q10:Q36" si="7">M44*$Q$2</f>
        <v>1357471.6772630403</v>
      </c>
      <c r="R10" s="60">
        <f t="shared" ref="R10:R36" si="8">M44*$R$2</f>
        <v>1384621.110808301</v>
      </c>
      <c r="S10" s="60">
        <f>M44*$S$2</f>
        <v>1398467.3219163842</v>
      </c>
      <c r="T10" t="s">
        <v>67</v>
      </c>
      <c r="V10" s="16"/>
      <c r="W10" s="16">
        <f>AVERAGE(V9:W9)</f>
        <v>3126477</v>
      </c>
      <c r="X10" s="16">
        <f t="shared" ref="X10:AD10" si="9">AVERAGE(W9:X9)</f>
        <v>3316174.5</v>
      </c>
      <c r="Y10" s="16">
        <f t="shared" si="9"/>
        <v>3491377.5</v>
      </c>
      <c r="Z10" s="16">
        <f t="shared" si="9"/>
        <v>4374365</v>
      </c>
      <c r="AA10" s="16">
        <f t="shared" si="9"/>
        <v>5397540.5</v>
      </c>
      <c r="AB10" s="16">
        <f t="shared" si="9"/>
        <v>5607369</v>
      </c>
      <c r="AC10" s="16">
        <f t="shared" si="9"/>
        <v>6576689</v>
      </c>
      <c r="AD10" s="16">
        <f t="shared" si="9"/>
        <v>7541928.5</v>
      </c>
      <c r="AE10" s="16">
        <f>AVERAGE(AD9:AE9)</f>
        <v>8069106.5</v>
      </c>
      <c r="AF10" s="16">
        <f>AVERAGE(AE9:AF9)</f>
        <v>8798636</v>
      </c>
      <c r="AG10" s="70">
        <f t="shared" ref="AG10:AL10" si="10">AVERAGE(AF9:AG9)</f>
        <v>9176919.5899999999</v>
      </c>
      <c r="AH10" s="70">
        <f t="shared" si="10"/>
        <v>9360457.9818000011</v>
      </c>
      <c r="AI10" s="70">
        <f t="shared" si="10"/>
        <v>9547667.1414360013</v>
      </c>
      <c r="AJ10" s="70">
        <f t="shared" si="10"/>
        <v>9738620.484264724</v>
      </c>
      <c r="AK10" s="70">
        <f t="shared" si="10"/>
        <v>9933392.8939500153</v>
      </c>
      <c r="AL10" s="70">
        <f t="shared" si="10"/>
        <v>10081902.035235804</v>
      </c>
    </row>
    <row r="11" spans="1:38" x14ac:dyDescent="0.25">
      <c r="A11" s="25" t="s">
        <v>20</v>
      </c>
      <c r="B11" s="26"/>
      <c r="C11" s="27">
        <v>276571</v>
      </c>
      <c r="D11" s="27">
        <v>152026</v>
      </c>
      <c r="E11" s="27">
        <v>192752</v>
      </c>
      <c r="F11" s="27">
        <v>280633</v>
      </c>
      <c r="G11" s="27">
        <v>272159</v>
      </c>
      <c r="H11" s="27">
        <v>240080</v>
      </c>
      <c r="I11" s="27">
        <v>254478</v>
      </c>
      <c r="J11" s="27">
        <v>256965</v>
      </c>
      <c r="K11" s="27">
        <v>272195</v>
      </c>
      <c r="L11" s="27">
        <v>345588</v>
      </c>
      <c r="M11" s="47">
        <v>974215</v>
      </c>
      <c r="N11" s="47">
        <f>M45*$N$2</f>
        <v>993699.29999999993</v>
      </c>
      <c r="O11" s="60">
        <f>M45*$O$2</f>
        <v>1013573.286</v>
      </c>
      <c r="P11" s="60">
        <f>M45*$P$2</f>
        <v>1033844.7517200001</v>
      </c>
      <c r="Q11" s="60">
        <f t="shared" si="7"/>
        <v>1054521.6467544001</v>
      </c>
      <c r="R11" s="60">
        <f t="shared" si="8"/>
        <v>1075612.079689488</v>
      </c>
      <c r="S11" s="60">
        <f>M45*$S$2</f>
        <v>1086368.2004863829</v>
      </c>
      <c r="AG11" s="68"/>
      <c r="AH11" s="68"/>
      <c r="AI11" s="68"/>
      <c r="AJ11" s="68"/>
      <c r="AK11" s="68"/>
      <c r="AL11" s="68"/>
    </row>
    <row r="12" spans="1:38" x14ac:dyDescent="0.25">
      <c r="A12" s="11" t="s">
        <v>21</v>
      </c>
      <c r="B12" s="12"/>
      <c r="C12" s="14">
        <v>2247047</v>
      </c>
      <c r="D12" s="14">
        <v>1848598</v>
      </c>
      <c r="E12" s="14">
        <v>1816778</v>
      </c>
      <c r="F12" s="14">
        <v>2001910</v>
      </c>
      <c r="G12" s="14">
        <v>2239181</v>
      </c>
      <c r="H12" s="14">
        <v>2117102</v>
      </c>
      <c r="I12" s="14">
        <v>2977905</v>
      </c>
      <c r="J12" s="14">
        <v>2246206</v>
      </c>
      <c r="K12" s="14">
        <v>2620406</v>
      </c>
      <c r="L12" s="14">
        <v>2912103</v>
      </c>
      <c r="M12" s="45">
        <v>3759457</v>
      </c>
      <c r="N12" s="45">
        <f t="shared" ref="N12:S12" si="11">SUM(N8:N11)</f>
        <v>3834646.1399999997</v>
      </c>
      <c r="O12" s="45">
        <f t="shared" si="11"/>
        <v>3911339.0628</v>
      </c>
      <c r="P12" s="63">
        <f t="shared" si="11"/>
        <v>3989565.8440560005</v>
      </c>
      <c r="Q12" s="63">
        <f t="shared" si="11"/>
        <v>4069357.1609371202</v>
      </c>
      <c r="R12" s="63">
        <f t="shared" si="11"/>
        <v>4150744.3041558629</v>
      </c>
      <c r="S12" s="63">
        <f t="shared" si="11"/>
        <v>4192251.7471974217</v>
      </c>
      <c r="T12" t="s">
        <v>68</v>
      </c>
      <c r="V12" s="15">
        <f t="shared" ref="V12:AF12" si="12">C22+C23+C25</f>
        <v>2184464</v>
      </c>
      <c r="W12" s="15">
        <f t="shared" si="12"/>
        <v>2420527</v>
      </c>
      <c r="X12" s="15">
        <f t="shared" si="12"/>
        <v>2980169</v>
      </c>
      <c r="Y12" s="15">
        <f t="shared" si="12"/>
        <v>2920480</v>
      </c>
      <c r="Z12" s="15">
        <f t="shared" si="12"/>
        <v>4457596</v>
      </c>
      <c r="AA12" s="15">
        <f t="shared" si="12"/>
        <v>4266485</v>
      </c>
      <c r="AB12" s="15">
        <f t="shared" si="12"/>
        <v>4602625</v>
      </c>
      <c r="AC12" s="15">
        <f t="shared" si="12"/>
        <v>5028894</v>
      </c>
      <c r="AD12" s="15">
        <f t="shared" si="12"/>
        <v>4791345</v>
      </c>
      <c r="AE12" s="15">
        <f t="shared" si="12"/>
        <v>4814029</v>
      </c>
      <c r="AF12" s="15">
        <f t="shared" si="12"/>
        <v>5102151</v>
      </c>
      <c r="AG12" s="71">
        <f t="shared" ref="AG12:AL12" si="13">N22+N23+N25</f>
        <v>5204194.0199999996</v>
      </c>
      <c r="AH12" s="71">
        <f t="shared" si="13"/>
        <v>5308277.9003999997</v>
      </c>
      <c r="AI12" s="71">
        <f t="shared" si="13"/>
        <v>5414443.4584079999</v>
      </c>
      <c r="AJ12" s="71">
        <f t="shared" si="13"/>
        <v>5522732.3275761604</v>
      </c>
      <c r="AK12" s="71">
        <f t="shared" si="13"/>
        <v>5633186.9741276838</v>
      </c>
      <c r="AL12" s="71">
        <f t="shared" si="13"/>
        <v>5689518.8438689616</v>
      </c>
    </row>
    <row r="13" spans="1:38" x14ac:dyDescent="0.25">
      <c r="A13" s="25" t="s">
        <v>22</v>
      </c>
      <c r="B13" s="26"/>
      <c r="C13" s="27">
        <v>2151901</v>
      </c>
      <c r="D13" s="27">
        <v>2240460</v>
      </c>
      <c r="E13" s="27">
        <v>2177248</v>
      </c>
      <c r="F13" s="27">
        <v>2106697</v>
      </c>
      <c r="G13" s="27">
        <v>2130294</v>
      </c>
      <c r="H13" s="27">
        <v>2153139</v>
      </c>
      <c r="I13" s="27">
        <v>2285255</v>
      </c>
      <c r="J13" s="27">
        <v>2586187</v>
      </c>
      <c r="K13" s="27">
        <v>2769702</v>
      </c>
      <c r="L13" s="27">
        <v>3309678</v>
      </c>
      <c r="M13" s="47">
        <v>3458853</v>
      </c>
      <c r="N13" s="47">
        <f>M47*$N$2</f>
        <v>3528030.06</v>
      </c>
      <c r="O13" s="60">
        <f>M47*$O$2</f>
        <v>3598590.6612</v>
      </c>
      <c r="P13" s="60">
        <f>M47*$P$2</f>
        <v>3670562.4744240004</v>
      </c>
      <c r="Q13" s="60">
        <f t="shared" si="7"/>
        <v>3743973.7239124803</v>
      </c>
      <c r="R13" s="60">
        <f t="shared" si="8"/>
        <v>3818853.1983907302</v>
      </c>
      <c r="S13" s="60">
        <f t="shared" ref="S13:S36" si="14">M47*$S$2</f>
        <v>3857041.7303746375</v>
      </c>
      <c r="T13" t="s">
        <v>69</v>
      </c>
      <c r="V13" s="16">
        <f t="shared" ref="V13:AF13" si="15">C8</f>
        <v>471985</v>
      </c>
      <c r="W13" s="16">
        <f t="shared" si="15"/>
        <v>346529</v>
      </c>
      <c r="X13" s="16">
        <f t="shared" si="15"/>
        <v>296967</v>
      </c>
      <c r="Y13" s="16">
        <f t="shared" si="15"/>
        <v>380179</v>
      </c>
      <c r="Z13" s="16">
        <f t="shared" si="15"/>
        <v>587998</v>
      </c>
      <c r="AA13" s="16">
        <f t="shared" si="15"/>
        <v>493262</v>
      </c>
      <c r="AB13" s="16">
        <f t="shared" si="15"/>
        <v>1143987</v>
      </c>
      <c r="AC13" s="16">
        <f t="shared" si="15"/>
        <v>329266</v>
      </c>
      <c r="AD13" s="16">
        <f t="shared" si="15"/>
        <v>463889</v>
      </c>
      <c r="AE13" s="16">
        <f t="shared" si="15"/>
        <v>401902</v>
      </c>
      <c r="AF13" s="16">
        <f t="shared" si="15"/>
        <v>730746</v>
      </c>
      <c r="AG13" s="70">
        <f t="shared" ref="AG13:AJ13" si="16">N8</f>
        <v>745360.91999999993</v>
      </c>
      <c r="AH13" s="70">
        <f t="shared" si="16"/>
        <v>760268.13839999994</v>
      </c>
      <c r="AI13" s="70">
        <f t="shared" si="16"/>
        <v>775473.50116800005</v>
      </c>
      <c r="AJ13" s="70">
        <f t="shared" si="16"/>
        <v>790982.97119136003</v>
      </c>
      <c r="AK13" s="70">
        <f>R8</f>
        <v>806802.63061518734</v>
      </c>
      <c r="AL13" s="70">
        <f>S8</f>
        <v>814870.65692133922</v>
      </c>
    </row>
    <row r="14" spans="1:38" x14ac:dyDescent="0.25">
      <c r="A14" s="25" t="s">
        <v>23</v>
      </c>
      <c r="B14" s="26"/>
      <c r="C14" s="27">
        <v>792955</v>
      </c>
      <c r="D14" s="27">
        <v>684252</v>
      </c>
      <c r="E14" s="27">
        <v>812344</v>
      </c>
      <c r="F14" s="27">
        <v>821061</v>
      </c>
      <c r="G14" s="27">
        <v>1801103</v>
      </c>
      <c r="H14" s="27">
        <v>1985955</v>
      </c>
      <c r="I14" s="27">
        <v>1988215</v>
      </c>
      <c r="J14" s="27">
        <v>2633174</v>
      </c>
      <c r="K14" s="27">
        <v>2606956</v>
      </c>
      <c r="L14" s="27">
        <v>2696050</v>
      </c>
      <c r="M14" s="48">
        <v>2705753</v>
      </c>
      <c r="N14" s="47">
        <f t="shared" ref="N14:N17" si="17">M48*$N$2</f>
        <v>2759868.06</v>
      </c>
      <c r="O14" s="60">
        <f>M48*$O$2</f>
        <v>2815065.4212000002</v>
      </c>
      <c r="P14" s="60">
        <f>M48*$P$2</f>
        <v>2871366.7296240004</v>
      </c>
      <c r="Q14" s="60">
        <f t="shared" si="7"/>
        <v>2928794.0642164806</v>
      </c>
      <c r="R14" s="60">
        <f t="shared" si="8"/>
        <v>2987369.9455008102</v>
      </c>
      <c r="S14" s="60">
        <f t="shared" si="14"/>
        <v>3017243.6449558185</v>
      </c>
      <c r="T14" s="16" t="s">
        <v>70</v>
      </c>
      <c r="U14" s="16"/>
      <c r="V14" s="16">
        <f>V12-V13</f>
        <v>1712479</v>
      </c>
      <c r="W14" s="16">
        <f t="shared" ref="W14:AD14" si="18">W12-W13</f>
        <v>2073998</v>
      </c>
      <c r="X14" s="16">
        <f t="shared" si="18"/>
        <v>2683202</v>
      </c>
      <c r="Y14" s="16">
        <f t="shared" si="18"/>
        <v>2540301</v>
      </c>
      <c r="Z14" s="16">
        <f t="shared" si="18"/>
        <v>3869598</v>
      </c>
      <c r="AA14" s="16">
        <f t="shared" si="18"/>
        <v>3773223</v>
      </c>
      <c r="AB14" s="16">
        <f t="shared" si="18"/>
        <v>3458638</v>
      </c>
      <c r="AC14" s="16">
        <f t="shared" si="18"/>
        <v>4699628</v>
      </c>
      <c r="AD14" s="16">
        <f t="shared" si="18"/>
        <v>4327456</v>
      </c>
      <c r="AE14" s="16">
        <f>AE12-AE13</f>
        <v>4412127</v>
      </c>
      <c r="AF14" s="16">
        <f>AF12-AF13</f>
        <v>4371405</v>
      </c>
      <c r="AG14" s="70">
        <f t="shared" ref="AG14:AL14" si="19">AG12-AG13</f>
        <v>4458833.0999999996</v>
      </c>
      <c r="AH14" s="70">
        <f t="shared" si="19"/>
        <v>4548009.7620000001</v>
      </c>
      <c r="AI14" s="70">
        <f t="shared" si="19"/>
        <v>4638969.9572400004</v>
      </c>
      <c r="AJ14" s="70">
        <f t="shared" si="19"/>
        <v>4731749.3563848007</v>
      </c>
      <c r="AK14" s="70">
        <f t="shared" si="19"/>
        <v>4826384.343512496</v>
      </c>
      <c r="AL14" s="70">
        <f t="shared" si="19"/>
        <v>4874648.1869476223</v>
      </c>
    </row>
    <row r="15" spans="1:38" x14ac:dyDescent="0.25">
      <c r="A15" s="25" t="s">
        <v>24</v>
      </c>
      <c r="B15" s="26"/>
      <c r="C15" s="27">
        <v>294841</v>
      </c>
      <c r="D15" s="27">
        <v>379305</v>
      </c>
      <c r="E15" s="27">
        <v>492737</v>
      </c>
      <c r="F15" s="27">
        <v>369156</v>
      </c>
      <c r="G15" s="27">
        <v>1278292</v>
      </c>
      <c r="H15" s="27">
        <v>1341166</v>
      </c>
      <c r="I15" s="27">
        <v>1295214</v>
      </c>
      <c r="J15" s="27">
        <v>2037588</v>
      </c>
      <c r="K15" s="27">
        <v>1966269</v>
      </c>
      <c r="L15" s="27">
        <v>1879229</v>
      </c>
      <c r="M15" s="48">
        <v>1873866</v>
      </c>
      <c r="N15" s="47">
        <f t="shared" si="17"/>
        <v>1911343.3199999998</v>
      </c>
      <c r="O15" s="60">
        <f>M49*$O$2</f>
        <v>1949570.1864</v>
      </c>
      <c r="P15" s="60">
        <f>M49*$P$2</f>
        <v>1988561.5901280001</v>
      </c>
      <c r="Q15" s="60">
        <f t="shared" si="7"/>
        <v>2028332.8219305601</v>
      </c>
      <c r="R15" s="60">
        <f t="shared" si="8"/>
        <v>2068899.4783691715</v>
      </c>
      <c r="S15" s="60">
        <f t="shared" si="14"/>
        <v>2089588.4731528633</v>
      </c>
      <c r="T15" t="s">
        <v>71</v>
      </c>
      <c r="V15" s="16"/>
      <c r="W15" s="16">
        <f>AVERAGE(V14:W14)</f>
        <v>1893238.5</v>
      </c>
      <c r="X15" s="16">
        <f t="shared" ref="X15:AD15" si="20">AVERAGE(W14:X14)</f>
        <v>2378600</v>
      </c>
      <c r="Y15" s="16">
        <f t="shared" si="20"/>
        <v>2611751.5</v>
      </c>
      <c r="Z15" s="16">
        <f t="shared" si="20"/>
        <v>3204949.5</v>
      </c>
      <c r="AA15" s="16">
        <f t="shared" si="20"/>
        <v>3821410.5</v>
      </c>
      <c r="AB15" s="16">
        <f t="shared" si="20"/>
        <v>3615930.5</v>
      </c>
      <c r="AC15" s="16">
        <f t="shared" si="20"/>
        <v>4079133</v>
      </c>
      <c r="AD15" s="16">
        <f t="shared" si="20"/>
        <v>4513542</v>
      </c>
      <c r="AE15" s="16">
        <f>AVERAGE(AD14:AE14)</f>
        <v>4369791.5</v>
      </c>
      <c r="AF15" s="16">
        <f>AVERAGE(AE14:AF14)</f>
        <v>4391766</v>
      </c>
      <c r="AG15" s="70">
        <f t="shared" ref="AG15:AL15" si="21">AVERAGE(AF14:AG14)</f>
        <v>4415119.05</v>
      </c>
      <c r="AH15" s="70">
        <f t="shared" si="21"/>
        <v>4503421.4309999999</v>
      </c>
      <c r="AI15" s="70">
        <f t="shared" si="21"/>
        <v>4593489.8596200002</v>
      </c>
      <c r="AJ15" s="70">
        <f t="shared" si="21"/>
        <v>4685359.6568124006</v>
      </c>
      <c r="AK15" s="70">
        <f t="shared" si="21"/>
        <v>4779066.8499486484</v>
      </c>
      <c r="AL15" s="70">
        <f t="shared" si="21"/>
        <v>4850516.2652300596</v>
      </c>
    </row>
    <row r="16" spans="1:38" x14ac:dyDescent="0.25">
      <c r="A16" s="25" t="s">
        <v>25</v>
      </c>
      <c r="B16" s="26"/>
      <c r="C16" s="28">
        <v>142772</v>
      </c>
      <c r="D16" s="28">
        <v>155366</v>
      </c>
      <c r="E16" s="27">
        <v>168365</v>
      </c>
      <c r="F16" s="27">
        <v>251879</v>
      </c>
      <c r="G16" s="27">
        <v>252984</v>
      </c>
      <c r="H16" s="27">
        <v>512000</v>
      </c>
      <c r="I16" s="27">
        <v>555887</v>
      </c>
      <c r="J16" s="27">
        <v>868203</v>
      </c>
      <c r="K16" s="27">
        <v>944989</v>
      </c>
      <c r="L16" s="27">
        <v>1061427</v>
      </c>
      <c r="M16" s="48">
        <v>1111867</v>
      </c>
      <c r="N16" s="47">
        <f t="shared" si="17"/>
        <v>1134104.3400000001</v>
      </c>
      <c r="O16" s="60">
        <f>M50*$O$2</f>
        <v>1156786.4268</v>
      </c>
      <c r="P16" s="60">
        <f>M50*$P$2</f>
        <v>1179922.1553360003</v>
      </c>
      <c r="Q16" s="60">
        <f t="shared" si="7"/>
        <v>1203520.5984427202</v>
      </c>
      <c r="R16" s="60">
        <f t="shared" si="8"/>
        <v>1227591.0104115747</v>
      </c>
      <c r="S16" s="60">
        <f t="shared" si="14"/>
        <v>1239866.9205156905</v>
      </c>
      <c r="AG16" s="72"/>
      <c r="AH16" s="72"/>
      <c r="AI16" s="72"/>
      <c r="AJ16" s="72"/>
      <c r="AK16" s="72"/>
      <c r="AL16" s="68"/>
    </row>
    <row r="17" spans="1:38" x14ac:dyDescent="0.25">
      <c r="A17" s="25" t="s">
        <v>19</v>
      </c>
      <c r="B17" s="26"/>
      <c r="C17" s="28">
        <v>0</v>
      </c>
      <c r="D17" s="27">
        <v>36390</v>
      </c>
      <c r="E17" s="27">
        <v>56861</v>
      </c>
      <c r="F17" s="27">
        <v>3023</v>
      </c>
      <c r="G17" s="27">
        <v>1166</v>
      </c>
      <c r="H17" s="27">
        <v>31033</v>
      </c>
      <c r="I17" s="27">
        <v>29369</v>
      </c>
      <c r="J17" s="27">
        <v>40873</v>
      </c>
      <c r="K17" s="27">
        <v>40498</v>
      </c>
      <c r="L17" s="27">
        <v>44454</v>
      </c>
      <c r="M17" s="48">
        <v>37065</v>
      </c>
      <c r="N17" s="47">
        <f t="shared" si="17"/>
        <v>37806.299999999996</v>
      </c>
      <c r="O17" s="60">
        <f>M51*$O$2</f>
        <v>38562.425999999999</v>
      </c>
      <c r="P17" s="60">
        <f>M51*$P$2</f>
        <v>39333.67452</v>
      </c>
      <c r="Q17" s="60">
        <f t="shared" si="7"/>
        <v>40120.348010400005</v>
      </c>
      <c r="R17" s="60">
        <f t="shared" si="8"/>
        <v>40922.754970608003</v>
      </c>
      <c r="S17" s="60">
        <f t="shared" si="14"/>
        <v>41331.982520314086</v>
      </c>
      <c r="T17" t="s">
        <v>72</v>
      </c>
      <c r="V17" s="17">
        <f>IS!C8</f>
        <v>7421768</v>
      </c>
      <c r="W17" s="17">
        <f>IS!D8</f>
        <v>7386626</v>
      </c>
      <c r="X17" s="17">
        <f>IS!E8</f>
        <v>7440181</v>
      </c>
      <c r="Y17" s="17">
        <f>IS!F8</f>
        <v>7515426</v>
      </c>
      <c r="Z17" s="17">
        <f>IS!G8</f>
        <v>7791069</v>
      </c>
      <c r="AA17" s="17">
        <f>IS!H8</f>
        <v>7986252</v>
      </c>
      <c r="AB17" s="17">
        <f>IS!I8</f>
        <v>8149719</v>
      </c>
      <c r="AC17" s="17">
        <f>IS!J8</f>
        <v>8971337</v>
      </c>
      <c r="AD17" s="17">
        <f>IS!K8</f>
        <v>10419294</v>
      </c>
      <c r="AE17" s="17">
        <f>IS!L8</f>
        <v>11164992</v>
      </c>
      <c r="AF17" s="17">
        <f>IS!M8</f>
        <v>11202263</v>
      </c>
      <c r="AG17" s="72">
        <f>IS!N8</f>
        <v>11426308.26</v>
      </c>
      <c r="AH17" s="72">
        <f>IS!O8</f>
        <v>11654834.4252</v>
      </c>
      <c r="AI17" s="72">
        <f>IS!P8</f>
        <v>11887931.113704002</v>
      </c>
      <c r="AJ17" s="72">
        <f>IS!Q8</f>
        <v>12125689.735978082</v>
      </c>
      <c r="AK17" s="72">
        <f>IS!R8</f>
        <v>12368203.530697644</v>
      </c>
      <c r="AL17" s="72">
        <f>IS!S8</f>
        <v>12491885.566004621</v>
      </c>
    </row>
    <row r="18" spans="1:38" x14ac:dyDescent="0.25">
      <c r="A18" s="11" t="s">
        <v>26</v>
      </c>
      <c r="B18" s="12"/>
      <c r="C18" s="14">
        <v>5629516</v>
      </c>
      <c r="D18" s="14">
        <v>5344371</v>
      </c>
      <c r="E18" s="14">
        <v>5524333</v>
      </c>
      <c r="F18" s="14">
        <v>5553726</v>
      </c>
      <c r="G18" s="14">
        <v>7703020</v>
      </c>
      <c r="H18" s="14">
        <v>8140395</v>
      </c>
      <c r="I18" s="14">
        <v>9131845</v>
      </c>
      <c r="J18" s="14">
        <v>10412231</v>
      </c>
      <c r="K18" s="14">
        <v>10948820</v>
      </c>
      <c r="L18" s="14">
        <v>11902941</v>
      </c>
      <c r="M18" s="46">
        <v>12946861</v>
      </c>
      <c r="N18" s="46">
        <f t="shared" ref="N18:S18" si="22">SUM(N12:N17)</f>
        <v>13205798.220000001</v>
      </c>
      <c r="O18" s="46">
        <f t="shared" si="22"/>
        <v>13469914.1844</v>
      </c>
      <c r="P18" s="63">
        <f t="shared" si="22"/>
        <v>13739312.468088003</v>
      </c>
      <c r="Q18" s="63">
        <f t="shared" si="22"/>
        <v>14014098.71744976</v>
      </c>
      <c r="R18" s="63">
        <f t="shared" si="22"/>
        <v>14294380.691798758</v>
      </c>
      <c r="S18" s="63">
        <f t="shared" si="22"/>
        <v>14437324.498716746</v>
      </c>
      <c r="T18" t="s">
        <v>63</v>
      </c>
      <c r="V18" s="16">
        <f>IS!C27</f>
        <v>901207.8</v>
      </c>
      <c r="W18" s="16">
        <f>IS!D27</f>
        <v>601293.80000000005</v>
      </c>
      <c r="X18" s="16">
        <f>IS!E27</f>
        <v>789140.3</v>
      </c>
      <c r="Y18" s="16">
        <f>IS!F27</f>
        <v>863119.45</v>
      </c>
      <c r="Z18" s="16">
        <f>IS!G27</f>
        <v>1339797.3700000001</v>
      </c>
      <c r="AA18" s="16">
        <f>IS!H27</f>
        <v>1316734.72</v>
      </c>
      <c r="AB18" s="16">
        <f>IS!I27</f>
        <v>1502696.79</v>
      </c>
      <c r="AC18" s="16">
        <f>IS!J27</f>
        <v>1677552.42</v>
      </c>
      <c r="AD18" s="16">
        <f>IS!K27</f>
        <v>1916352.6400000001</v>
      </c>
      <c r="AE18" s="16">
        <f>IS!L27</f>
        <v>2169099.37</v>
      </c>
      <c r="AF18" s="16">
        <f>IS!M27</f>
        <v>2556432.84</v>
      </c>
      <c r="AG18" s="70">
        <f>IS!N27</f>
        <v>2607561.4967999998</v>
      </c>
      <c r="AH18" s="70">
        <f>IS!O27</f>
        <v>2659712.7267359998</v>
      </c>
      <c r="AI18" s="70">
        <f>IS!P27</f>
        <v>2712906.9812707198</v>
      </c>
      <c r="AJ18" s="70">
        <f>IS!Q27</f>
        <v>2767165.1208961345</v>
      </c>
      <c r="AK18" s="70">
        <f>IS!R27</f>
        <v>2822508.4233140573</v>
      </c>
      <c r="AL18" s="70">
        <f>IS!S27</f>
        <v>2850733.5075471974</v>
      </c>
    </row>
    <row r="19" spans="1:38" x14ac:dyDescent="0.25">
      <c r="A19" s="25" t="s">
        <v>27</v>
      </c>
      <c r="B19" s="26"/>
      <c r="C19" s="27">
        <v>482017</v>
      </c>
      <c r="D19" s="27">
        <v>474266</v>
      </c>
      <c r="E19" s="27">
        <v>522536</v>
      </c>
      <c r="F19" s="27">
        <v>523229</v>
      </c>
      <c r="G19" s="27">
        <v>502314</v>
      </c>
      <c r="H19" s="27">
        <v>550828</v>
      </c>
      <c r="I19" s="27">
        <v>580058</v>
      </c>
      <c r="J19" s="27">
        <v>692338</v>
      </c>
      <c r="K19" s="27">
        <v>970558</v>
      </c>
      <c r="L19" s="27">
        <v>1086183</v>
      </c>
      <c r="M19" s="48">
        <v>1159177</v>
      </c>
      <c r="N19" s="48">
        <f>M53*$N$2</f>
        <v>1182360.54</v>
      </c>
      <c r="O19" s="60">
        <f>M53*$O$2</f>
        <v>1206007.7508</v>
      </c>
      <c r="P19" s="60">
        <f>M53*$P$2</f>
        <v>1230127.9058160002</v>
      </c>
      <c r="Q19" s="60">
        <f t="shared" si="7"/>
        <v>1254730.4639323202</v>
      </c>
      <c r="R19" s="60">
        <f t="shared" si="8"/>
        <v>1279825.0732109668</v>
      </c>
      <c r="S19" s="60">
        <f t="shared" si="14"/>
        <v>1292623.3239430764</v>
      </c>
      <c r="T19" t="s">
        <v>73</v>
      </c>
      <c r="V19" s="16"/>
      <c r="W19" s="16">
        <f t="shared" ref="W19:AJ19" si="23">(C37+D37)/2</f>
        <v>1283496</v>
      </c>
      <c r="X19" s="16">
        <f t="shared" si="23"/>
        <v>937574.5</v>
      </c>
      <c r="Y19" s="16">
        <f t="shared" si="23"/>
        <v>879626</v>
      </c>
      <c r="Z19" s="16">
        <f t="shared" si="23"/>
        <v>1169415.5</v>
      </c>
      <c r="AA19" s="16">
        <f t="shared" si="23"/>
        <v>1576130</v>
      </c>
      <c r="AB19" s="16">
        <f t="shared" si="23"/>
        <v>1991438.5</v>
      </c>
      <c r="AC19" s="16">
        <f t="shared" si="23"/>
        <v>2497556</v>
      </c>
      <c r="AD19" s="16">
        <f t="shared" si="23"/>
        <v>3028386.5</v>
      </c>
      <c r="AE19" s="16">
        <f t="shared" si="23"/>
        <v>3699315</v>
      </c>
      <c r="AF19" s="16">
        <f t="shared" si="23"/>
        <v>4406870</v>
      </c>
      <c r="AG19" s="70">
        <f t="shared" si="23"/>
        <v>4761800.540000001</v>
      </c>
      <c r="AH19" s="70">
        <f t="shared" si="23"/>
        <v>4857036.5508000012</v>
      </c>
      <c r="AI19" s="70">
        <f t="shared" si="23"/>
        <v>4954177.2818160011</v>
      </c>
      <c r="AJ19" s="70">
        <f t="shared" si="23"/>
        <v>5053260.8274523197</v>
      </c>
      <c r="AK19" s="70">
        <f>(Q37+R37)/2</f>
        <v>5154326.0440013651</v>
      </c>
      <c r="AL19" s="70">
        <f>(R37+S37)/2</f>
        <v>5231385.770005743</v>
      </c>
    </row>
    <row r="20" spans="1:38" x14ac:dyDescent="0.25">
      <c r="A20" s="25" t="s">
        <v>28</v>
      </c>
      <c r="B20" s="26"/>
      <c r="C20" s="27">
        <v>813513</v>
      </c>
      <c r="D20" s="27">
        <v>856967</v>
      </c>
      <c r="E20" s="27">
        <v>750986</v>
      </c>
      <c r="F20" s="27">
        <v>676134</v>
      </c>
      <c r="G20" s="27">
        <v>679163</v>
      </c>
      <c r="H20" s="27">
        <v>702372</v>
      </c>
      <c r="I20" s="27">
        <v>781766</v>
      </c>
      <c r="J20" s="27">
        <v>855638</v>
      </c>
      <c r="K20" s="27">
        <v>832518</v>
      </c>
      <c r="L20" s="27">
        <v>867815</v>
      </c>
      <c r="M20" s="48">
        <v>807341</v>
      </c>
      <c r="N20" s="48">
        <f t="shared" ref="N20:N27" si="24">M54*$N$2</f>
        <v>823487.82</v>
      </c>
      <c r="O20" s="60">
        <f>M54*$O$2</f>
        <v>839957.57640000002</v>
      </c>
      <c r="P20" s="60">
        <f>M54*$P$2</f>
        <v>856756.72792800015</v>
      </c>
      <c r="Q20" s="60">
        <f t="shared" si="7"/>
        <v>873891.86248656013</v>
      </c>
      <c r="R20" s="60">
        <f t="shared" si="8"/>
        <v>891369.69973629143</v>
      </c>
      <c r="S20" s="60">
        <f t="shared" si="14"/>
        <v>900283.39673365431</v>
      </c>
      <c r="T20" s="16" t="s">
        <v>74</v>
      </c>
      <c r="U20" s="16"/>
      <c r="V20" s="16">
        <f>IS!C20</f>
        <v>846912</v>
      </c>
      <c r="W20" s="16">
        <f>IS!D20</f>
        <v>512951</v>
      </c>
      <c r="X20" s="16">
        <f>IS!E20</f>
        <v>720044</v>
      </c>
      <c r="Y20" s="16">
        <f>IS!F20</f>
        <v>782981</v>
      </c>
      <c r="Z20" s="16">
        <f>IS!G20</f>
        <v>1177562</v>
      </c>
      <c r="AA20" s="16">
        <f>IS!H20</f>
        <v>1149692</v>
      </c>
      <c r="AB20" s="16">
        <f>IS!I20</f>
        <v>1278708</v>
      </c>
      <c r="AC20" s="16">
        <f>IS!J20</f>
        <v>1477512</v>
      </c>
      <c r="AD20" s="16">
        <f>IS!K20</f>
        <v>1644817</v>
      </c>
      <c r="AE20" s="16">
        <f>IS!L20</f>
        <v>1861787</v>
      </c>
      <c r="AF20" s="16">
        <f>IS!M20</f>
        <v>2221239</v>
      </c>
      <c r="AG20" s="70">
        <f>IS!N20</f>
        <v>2265663.7799999998</v>
      </c>
      <c r="AH20" s="70">
        <f>IS!O20</f>
        <v>2310977.0555999996</v>
      </c>
      <c r="AI20" s="70">
        <f>IS!P20</f>
        <v>2357196.5967119997</v>
      </c>
      <c r="AJ20" s="70">
        <f>IS!Q20</f>
        <v>2404340.52864624</v>
      </c>
      <c r="AK20" s="70">
        <f>IS!R20</f>
        <v>2452427.3392191646</v>
      </c>
      <c r="AL20" s="70">
        <f>IS!S20</f>
        <v>2476951.6126113567</v>
      </c>
    </row>
    <row r="21" spans="1:38" x14ac:dyDescent="0.25">
      <c r="A21" s="25" t="s">
        <v>29</v>
      </c>
      <c r="B21" s="26"/>
      <c r="C21" s="27">
        <v>4616</v>
      </c>
      <c r="D21" s="27">
        <v>23243</v>
      </c>
      <c r="E21" s="27">
        <v>3207</v>
      </c>
      <c r="F21" s="27">
        <v>17723</v>
      </c>
      <c r="G21" s="27">
        <v>33773</v>
      </c>
      <c r="H21" s="27">
        <v>19921</v>
      </c>
      <c r="I21" s="27">
        <v>17051</v>
      </c>
      <c r="J21" s="27">
        <v>3070</v>
      </c>
      <c r="K21" s="27">
        <v>6710</v>
      </c>
      <c r="L21" s="27">
        <v>29457</v>
      </c>
      <c r="M21" s="48">
        <v>51036</v>
      </c>
      <c r="N21" s="48">
        <f t="shared" si="24"/>
        <v>52056.72</v>
      </c>
      <c r="O21" s="60">
        <f>M55*$O$2</f>
        <v>53097.854400000004</v>
      </c>
      <c r="P21" s="60">
        <f>M55*$P$2</f>
        <v>54159.811488000007</v>
      </c>
      <c r="Q21" s="60">
        <f t="shared" si="7"/>
        <v>55243.007717760011</v>
      </c>
      <c r="R21" s="60">
        <f t="shared" si="8"/>
        <v>56347.86787211521</v>
      </c>
      <c r="S21" s="60">
        <f t="shared" si="14"/>
        <v>56911.346550836366</v>
      </c>
      <c r="AG21" s="68"/>
      <c r="AH21" s="68"/>
      <c r="AI21" s="68"/>
      <c r="AJ21" s="68"/>
      <c r="AK21" s="68"/>
      <c r="AL21" s="68"/>
    </row>
    <row r="22" spans="1:38" x14ac:dyDescent="0.25">
      <c r="A22" s="29" t="s">
        <v>30</v>
      </c>
      <c r="B22" s="32"/>
      <c r="C22" s="31">
        <v>384696</v>
      </c>
      <c r="D22" s="31">
        <v>363513</v>
      </c>
      <c r="E22" s="31">
        <v>632471</v>
      </c>
      <c r="F22" s="31">
        <v>559359</v>
      </c>
      <c r="G22" s="31">
        <v>1197929</v>
      </c>
      <c r="H22" s="31">
        <v>32282</v>
      </c>
      <c r="I22" s="31">
        <v>74041</v>
      </c>
      <c r="J22" s="31">
        <v>939423</v>
      </c>
      <c r="K22" s="31">
        <v>693790</v>
      </c>
      <c r="L22" s="31">
        <v>719839</v>
      </c>
      <c r="M22" s="49">
        <v>1306976</v>
      </c>
      <c r="N22" s="49">
        <f t="shared" si="24"/>
        <v>1333115.52</v>
      </c>
      <c r="O22" s="31">
        <f t="shared" ref="O22" si="25">M56*$O$2</f>
        <v>1359777.8304000001</v>
      </c>
      <c r="P22" s="31">
        <f>M56*$P$2</f>
        <v>1386973.3870080002</v>
      </c>
      <c r="Q22" s="31">
        <f t="shared" si="7"/>
        <v>1414712.8547481601</v>
      </c>
      <c r="R22" s="31">
        <f t="shared" si="8"/>
        <v>1443007.1118431233</v>
      </c>
      <c r="S22" s="31">
        <f t="shared" si="14"/>
        <v>1457437.1829615547</v>
      </c>
      <c r="Z22" s="18"/>
      <c r="AG22" s="68"/>
      <c r="AH22" s="68"/>
      <c r="AI22" s="68"/>
      <c r="AJ22" s="68"/>
      <c r="AK22" s="68"/>
      <c r="AL22" s="68"/>
    </row>
    <row r="23" spans="1:38" x14ac:dyDescent="0.25">
      <c r="A23" s="29" t="s">
        <v>31</v>
      </c>
      <c r="B23" s="32"/>
      <c r="C23" s="31">
        <v>250805</v>
      </c>
      <c r="D23" s="31">
        <v>499923</v>
      </c>
      <c r="E23" s="31">
        <v>243</v>
      </c>
      <c r="F23" s="31">
        <v>300098</v>
      </c>
      <c r="G23" s="31">
        <v>5387</v>
      </c>
      <c r="H23" s="31">
        <v>703390</v>
      </c>
      <c r="I23" s="31">
        <v>438829</v>
      </c>
      <c r="J23" s="31">
        <v>2844</v>
      </c>
      <c r="K23" s="31">
        <v>753578</v>
      </c>
      <c r="L23" s="31">
        <v>305058</v>
      </c>
      <c r="M23" s="49">
        <v>604965</v>
      </c>
      <c r="N23" s="49">
        <f t="shared" si="24"/>
        <v>617064.29999999993</v>
      </c>
      <c r="O23" s="31">
        <f>M57*$O$2</f>
        <v>629405.58600000001</v>
      </c>
      <c r="P23" s="31">
        <f>M57*$P$2</f>
        <v>641993.69772000005</v>
      </c>
      <c r="Q23" s="31">
        <f t="shared" si="7"/>
        <v>654833.57167440001</v>
      </c>
      <c r="R23" s="31">
        <f t="shared" si="8"/>
        <v>667930.24310788803</v>
      </c>
      <c r="S23" s="31">
        <f t="shared" si="14"/>
        <v>674609.54553896701</v>
      </c>
      <c r="T23" t="s">
        <v>75</v>
      </c>
      <c r="V23" s="18"/>
      <c r="W23" s="18">
        <f>W20/W19</f>
        <v>0.39965142080692112</v>
      </c>
      <c r="X23" s="18">
        <f>X20/X19</f>
        <v>0.76798590405349121</v>
      </c>
      <c r="Y23" s="18">
        <f>Y20/Y19</f>
        <v>0.8901294413762213</v>
      </c>
      <c r="Z23" s="18">
        <f>Z20/Z19</f>
        <v>1.006966300686112</v>
      </c>
      <c r="AA23" s="18">
        <f t="shared" ref="AA23:AC23" si="26">AA20/AA19</f>
        <v>0.72943983047083683</v>
      </c>
      <c r="AB23" s="18">
        <f t="shared" si="26"/>
        <v>0.64210268105191293</v>
      </c>
      <c r="AC23" s="18">
        <f t="shared" si="26"/>
        <v>0.59158313166952015</v>
      </c>
      <c r="AD23" s="18">
        <f>AD20/AD19</f>
        <v>0.54313311725567393</v>
      </c>
      <c r="AE23" s="18">
        <f>AE20/AE19</f>
        <v>0.50327885027363173</v>
      </c>
      <c r="AF23" s="18">
        <f>AF20/AF19</f>
        <v>0.50404005564039789</v>
      </c>
      <c r="AG23" s="73">
        <f t="shared" ref="AG23:AL23" si="27">AG20/AG19</f>
        <v>0.47579980744006539</v>
      </c>
      <c r="AH23" s="73">
        <f t="shared" si="27"/>
        <v>0.47579980744006534</v>
      </c>
      <c r="AI23" s="73">
        <f t="shared" si="27"/>
        <v>0.47579980744006534</v>
      </c>
      <c r="AJ23" s="73">
        <f t="shared" si="27"/>
        <v>0.47579980744006556</v>
      </c>
      <c r="AK23" s="73">
        <f t="shared" si="27"/>
        <v>0.47579980744006561</v>
      </c>
      <c r="AL23" s="73">
        <f t="shared" si="27"/>
        <v>0.47347905918409022</v>
      </c>
    </row>
    <row r="24" spans="1:38" x14ac:dyDescent="0.25">
      <c r="A24" s="11" t="s">
        <v>32</v>
      </c>
      <c r="B24" s="12"/>
      <c r="C24" s="14">
        <v>1935647</v>
      </c>
      <c r="D24" s="14">
        <v>2217912</v>
      </c>
      <c r="E24" s="14">
        <v>1909443</v>
      </c>
      <c r="F24" s="14">
        <v>2076543</v>
      </c>
      <c r="G24" s="14">
        <v>2418566</v>
      </c>
      <c r="H24" s="14">
        <v>2008793</v>
      </c>
      <c r="I24" s="14">
        <v>1891745</v>
      </c>
      <c r="J24" s="14">
        <v>2493313</v>
      </c>
      <c r="K24" s="14">
        <v>3257154</v>
      </c>
      <c r="L24" s="14">
        <v>3008352</v>
      </c>
      <c r="M24" s="46">
        <v>3929495</v>
      </c>
      <c r="N24" s="61">
        <f t="shared" ref="N24:S24" si="28">SUM(N19:N23)</f>
        <v>4008084.8999999994</v>
      </c>
      <c r="O24" s="46">
        <f t="shared" si="28"/>
        <v>4088246.5980000002</v>
      </c>
      <c r="P24" s="46">
        <f t="shared" si="28"/>
        <v>4170011.5299600009</v>
      </c>
      <c r="Q24" s="46">
        <f t="shared" si="28"/>
        <v>4253411.7605592003</v>
      </c>
      <c r="R24" s="46">
        <f t="shared" si="28"/>
        <v>4338479.9957703846</v>
      </c>
      <c r="S24" s="46">
        <f t="shared" si="28"/>
        <v>4381864.7957280893</v>
      </c>
      <c r="T24" s="69" t="s">
        <v>63</v>
      </c>
      <c r="V24" s="19">
        <f t="shared" ref="V24:AD24" si="29">V18</f>
        <v>901207.8</v>
      </c>
      <c r="W24" s="19">
        <f t="shared" si="29"/>
        <v>601293.80000000005</v>
      </c>
      <c r="X24" s="19">
        <f t="shared" si="29"/>
        <v>789140.3</v>
      </c>
      <c r="Y24" s="19">
        <f t="shared" si="29"/>
        <v>863119.45</v>
      </c>
      <c r="Z24" s="19">
        <f t="shared" si="29"/>
        <v>1339797.3700000001</v>
      </c>
      <c r="AA24" s="19">
        <f t="shared" si="29"/>
        <v>1316734.72</v>
      </c>
      <c r="AB24" s="19">
        <f t="shared" si="29"/>
        <v>1502696.79</v>
      </c>
      <c r="AC24" s="19">
        <f t="shared" si="29"/>
        <v>1677552.42</v>
      </c>
      <c r="AD24" s="19">
        <f t="shared" si="29"/>
        <v>1916352.6400000001</v>
      </c>
      <c r="AE24" s="19">
        <f>AE18</f>
        <v>2169099.37</v>
      </c>
      <c r="AF24" s="19">
        <f>AF18</f>
        <v>2556432.84</v>
      </c>
      <c r="AG24" s="74">
        <f t="shared" ref="AG24:AL24" si="30">AG18</f>
        <v>2607561.4967999998</v>
      </c>
      <c r="AH24" s="74">
        <f t="shared" si="30"/>
        <v>2659712.7267359998</v>
      </c>
      <c r="AI24" s="74">
        <f t="shared" si="30"/>
        <v>2712906.9812707198</v>
      </c>
      <c r="AJ24" s="74">
        <f t="shared" si="30"/>
        <v>2767165.1208961345</v>
      </c>
      <c r="AK24" s="74">
        <f t="shared" si="30"/>
        <v>2822508.4233140573</v>
      </c>
      <c r="AL24" s="74">
        <f t="shared" si="30"/>
        <v>2850733.5075471974</v>
      </c>
    </row>
    <row r="25" spans="1:38" x14ac:dyDescent="0.25">
      <c r="A25" s="29" t="s">
        <v>33</v>
      </c>
      <c r="B25" s="32"/>
      <c r="C25" s="31">
        <v>1548963</v>
      </c>
      <c r="D25" s="31">
        <v>1557091</v>
      </c>
      <c r="E25" s="31">
        <v>2347455</v>
      </c>
      <c r="F25" s="31">
        <v>2061023</v>
      </c>
      <c r="G25" s="31">
        <v>3254280</v>
      </c>
      <c r="H25" s="31">
        <v>3530813</v>
      </c>
      <c r="I25" s="31">
        <v>4089755</v>
      </c>
      <c r="J25" s="31">
        <v>4086627</v>
      </c>
      <c r="K25" s="31">
        <v>3343977</v>
      </c>
      <c r="L25" s="31">
        <v>3789132</v>
      </c>
      <c r="M25" s="49">
        <v>3190210</v>
      </c>
      <c r="N25" s="49">
        <f t="shared" si="24"/>
        <v>3254014.1999999997</v>
      </c>
      <c r="O25" s="31">
        <f>M59*$O$2</f>
        <v>3319094.4840000002</v>
      </c>
      <c r="P25" s="31">
        <f>M59*$P$2</f>
        <v>3385476.3736800002</v>
      </c>
      <c r="Q25" s="31">
        <f t="shared" si="7"/>
        <v>3453185.9011536003</v>
      </c>
      <c r="R25" s="31">
        <f t="shared" si="8"/>
        <v>3522249.6191766728</v>
      </c>
      <c r="S25" s="31">
        <f t="shared" si="14"/>
        <v>3557472.1153684394</v>
      </c>
      <c r="T25" s="69" t="s">
        <v>66</v>
      </c>
      <c r="V25" s="16">
        <f>V9</f>
        <v>3131494</v>
      </c>
      <c r="W25" s="16">
        <f>W9</f>
        <v>3121460</v>
      </c>
      <c r="X25" s="16">
        <f>X9</f>
        <v>3510889</v>
      </c>
      <c r="Y25" s="16">
        <f>Y9</f>
        <v>3471866</v>
      </c>
      <c r="Z25" s="16">
        <f t="shared" ref="Z25:AD25" si="31">Z9</f>
        <v>5276864</v>
      </c>
      <c r="AA25" s="16">
        <f t="shared" si="31"/>
        <v>5518217</v>
      </c>
      <c r="AB25" s="16">
        <f t="shared" si="31"/>
        <v>5696521</v>
      </c>
      <c r="AC25" s="16">
        <f t="shared" si="31"/>
        <v>7456857</v>
      </c>
      <c r="AD25" s="16">
        <f t="shared" si="31"/>
        <v>7627000</v>
      </c>
      <c r="AE25" s="16">
        <f>AE9</f>
        <v>8511213</v>
      </c>
      <c r="AF25" s="16">
        <f>AF9</f>
        <v>9086059</v>
      </c>
      <c r="AG25" s="70">
        <f t="shared" ref="AG25:AL25" si="32">AG9</f>
        <v>9267780.1800000016</v>
      </c>
      <c r="AH25" s="70">
        <f t="shared" si="32"/>
        <v>9453135.7835999988</v>
      </c>
      <c r="AI25" s="70">
        <f t="shared" si="32"/>
        <v>9642198.4992720038</v>
      </c>
      <c r="AJ25" s="70">
        <f t="shared" si="32"/>
        <v>9835042.4692574423</v>
      </c>
      <c r="AK25" s="70">
        <f t="shared" si="32"/>
        <v>10031743.31864259</v>
      </c>
      <c r="AL25" s="70">
        <f t="shared" si="32"/>
        <v>10132060.751829015</v>
      </c>
    </row>
    <row r="26" spans="1:38" x14ac:dyDescent="0.25">
      <c r="A26" s="25" t="s">
        <v>34</v>
      </c>
      <c r="B26" s="26">
        <f>BS!D2</f>
        <v>0</v>
      </c>
      <c r="C26" s="27">
        <v>526003</v>
      </c>
      <c r="D26" s="27">
        <v>468718</v>
      </c>
      <c r="E26" s="27">
        <v>400161</v>
      </c>
      <c r="F26" s="27">
        <v>438939</v>
      </c>
      <c r="G26" s="27">
        <v>446048</v>
      </c>
      <c r="H26" s="27">
        <v>655777</v>
      </c>
      <c r="I26" s="27">
        <v>683434</v>
      </c>
      <c r="J26" s="27">
        <v>787058</v>
      </c>
      <c r="K26" s="27">
        <v>719742</v>
      </c>
      <c r="L26" s="27">
        <v>660673</v>
      </c>
      <c r="M26" s="47">
        <v>688259</v>
      </c>
      <c r="N26" s="48">
        <f t="shared" si="24"/>
        <v>702024.17999999993</v>
      </c>
      <c r="O26" s="60">
        <f>M60*$O$2</f>
        <v>716064.66359999997</v>
      </c>
      <c r="P26" s="60">
        <f>M60*$P$2</f>
        <v>730385.95687200001</v>
      </c>
      <c r="Q26" s="60">
        <f t="shared" si="7"/>
        <v>744993.6760094401</v>
      </c>
      <c r="R26" s="60">
        <f t="shared" si="8"/>
        <v>759893.54952962894</v>
      </c>
      <c r="S26" s="60">
        <f t="shared" si="14"/>
        <v>767492.4850249252</v>
      </c>
      <c r="T26" t="s">
        <v>70</v>
      </c>
      <c r="V26" s="16">
        <f>V14</f>
        <v>1712479</v>
      </c>
      <c r="W26" s="16">
        <f>W14</f>
        <v>2073998</v>
      </c>
      <c r="X26" s="16">
        <f>X14</f>
        <v>2683202</v>
      </c>
      <c r="Y26" s="16">
        <f>Y14</f>
        <v>2540301</v>
      </c>
      <c r="Z26" s="16">
        <f t="shared" ref="Z26:AD26" si="33">Z14</f>
        <v>3869598</v>
      </c>
      <c r="AA26" s="16">
        <f t="shared" si="33"/>
        <v>3773223</v>
      </c>
      <c r="AB26" s="16">
        <f t="shared" si="33"/>
        <v>3458638</v>
      </c>
      <c r="AC26" s="16">
        <f t="shared" si="33"/>
        <v>4699628</v>
      </c>
      <c r="AD26" s="16">
        <f t="shared" si="33"/>
        <v>4327456</v>
      </c>
      <c r="AE26" s="16">
        <f>AE14</f>
        <v>4412127</v>
      </c>
      <c r="AF26" s="16">
        <f>AF14</f>
        <v>4371405</v>
      </c>
      <c r="AG26" s="70">
        <f t="shared" ref="AG26:AL26" si="34">AG14</f>
        <v>4458833.0999999996</v>
      </c>
      <c r="AH26" s="70">
        <f t="shared" si="34"/>
        <v>4548009.7620000001</v>
      </c>
      <c r="AI26" s="70">
        <f t="shared" si="34"/>
        <v>4638969.9572400004</v>
      </c>
      <c r="AJ26" s="70">
        <f t="shared" si="34"/>
        <v>4731749.3563848007</v>
      </c>
      <c r="AK26" s="70">
        <f t="shared" si="34"/>
        <v>4826384.343512496</v>
      </c>
      <c r="AL26" s="70">
        <f t="shared" si="34"/>
        <v>4874648.1869476223</v>
      </c>
    </row>
    <row r="27" spans="1:38" x14ac:dyDescent="0.25">
      <c r="A27" s="25" t="s">
        <v>19</v>
      </c>
      <c r="B27" s="26"/>
      <c r="C27" s="27">
        <v>99373</v>
      </c>
      <c r="D27" s="27">
        <v>53188</v>
      </c>
      <c r="E27" s="27">
        <v>39587</v>
      </c>
      <c r="F27" s="27">
        <v>45656</v>
      </c>
      <c r="G27" s="27">
        <v>176860</v>
      </c>
      <c r="H27" s="27">
        <v>200018</v>
      </c>
      <c r="I27" s="27">
        <v>229028</v>
      </c>
      <c r="J27" s="27">
        <v>288004</v>
      </c>
      <c r="K27" s="27">
        <v>328403</v>
      </c>
      <c r="L27" s="27">
        <v>345698</v>
      </c>
      <c r="M27" s="48">
        <v>424243</v>
      </c>
      <c r="N27" s="48">
        <f t="shared" si="24"/>
        <v>432727.86</v>
      </c>
      <c r="O27" s="60">
        <f>M61*$O$2</f>
        <v>441382.41720000003</v>
      </c>
      <c r="P27" s="60">
        <f>M61*$P$2</f>
        <v>450210.06554400007</v>
      </c>
      <c r="Q27" s="60">
        <f t="shared" si="7"/>
        <v>459214.26685488009</v>
      </c>
      <c r="R27" s="60">
        <f t="shared" si="8"/>
        <v>468398.55219197768</v>
      </c>
      <c r="S27" s="60">
        <f t="shared" si="14"/>
        <v>473082.53771389747</v>
      </c>
      <c r="T27" t="s">
        <v>76</v>
      </c>
      <c r="V27" s="18"/>
      <c r="W27" s="18">
        <f>W24/W10</f>
        <v>0.19232311640226366</v>
      </c>
      <c r="X27" s="18">
        <f>X24/X10</f>
        <v>0.2379670611422891</v>
      </c>
      <c r="Y27" s="18">
        <f>Y24/Y10</f>
        <v>0.24721458793842829</v>
      </c>
      <c r="Z27" s="18">
        <f t="shared" ref="Z27:AD27" si="35">Z24/Z10</f>
        <v>0.30628385377077588</v>
      </c>
      <c r="AA27" s="18">
        <f t="shared" si="35"/>
        <v>0.24395087355064773</v>
      </c>
      <c r="AB27" s="18">
        <f t="shared" si="35"/>
        <v>0.26798607154264326</v>
      </c>
      <c r="AC27" s="18">
        <f t="shared" si="35"/>
        <v>0.2550755281266911</v>
      </c>
      <c r="AD27" s="18">
        <f t="shared" si="35"/>
        <v>0.25409318584762508</v>
      </c>
      <c r="AE27" s="18">
        <f>AE24/AE10</f>
        <v>0.268815310592319</v>
      </c>
      <c r="AF27" s="18">
        <f>AF24/AF10</f>
        <v>0.29054876687704773</v>
      </c>
      <c r="AG27" s="73">
        <f t="shared" ref="AG27:AL27" si="36">AG24/AG10</f>
        <v>0.28414343955257432</v>
      </c>
      <c r="AH27" s="73">
        <f t="shared" si="36"/>
        <v>0.28414343955257426</v>
      </c>
      <c r="AI27" s="73">
        <f t="shared" si="36"/>
        <v>0.28414343955257426</v>
      </c>
      <c r="AJ27" s="73">
        <f t="shared" si="36"/>
        <v>0.28414343955257421</v>
      </c>
      <c r="AK27" s="73">
        <f t="shared" si="36"/>
        <v>0.28414343955257432</v>
      </c>
      <c r="AL27" s="73">
        <f t="shared" si="36"/>
        <v>0.28275750920649789</v>
      </c>
    </row>
    <row r="28" spans="1:38" x14ac:dyDescent="0.25">
      <c r="A28" s="11" t="s">
        <v>35</v>
      </c>
      <c r="B28" s="12"/>
      <c r="C28" s="14">
        <v>4109986</v>
      </c>
      <c r="D28" s="14">
        <v>4296909</v>
      </c>
      <c r="E28" s="14">
        <v>4696646</v>
      </c>
      <c r="F28" s="14">
        <v>4622161</v>
      </c>
      <c r="G28" s="14">
        <v>6295754</v>
      </c>
      <c r="H28" s="14">
        <v>6395401</v>
      </c>
      <c r="I28" s="14">
        <v>6893962</v>
      </c>
      <c r="J28" s="14">
        <v>7655002</v>
      </c>
      <c r="K28" s="14">
        <v>7649276</v>
      </c>
      <c r="L28" s="14">
        <v>7803855</v>
      </c>
      <c r="M28" s="45">
        <v>8232207</v>
      </c>
      <c r="N28" s="45">
        <f t="shared" ref="N28:S28" si="37">SUM(N24:N27)</f>
        <v>8396851.1399999987</v>
      </c>
      <c r="O28" s="45">
        <f t="shared" si="37"/>
        <v>8564788.1627999991</v>
      </c>
      <c r="P28" s="45">
        <f t="shared" si="37"/>
        <v>8736083.9260560013</v>
      </c>
      <c r="Q28" s="45">
        <f t="shared" si="37"/>
        <v>8910805.6045771223</v>
      </c>
      <c r="R28" s="45">
        <f t="shared" si="37"/>
        <v>9089021.7166686654</v>
      </c>
      <c r="S28" s="45">
        <f t="shared" si="37"/>
        <v>9179911.9338353518</v>
      </c>
      <c r="T28" s="69" t="s">
        <v>77</v>
      </c>
      <c r="V28" s="18">
        <f>V24/V17</f>
        <v>0.12142764365579739</v>
      </c>
      <c r="W28" s="18">
        <f>W24/W17</f>
        <v>8.1403038410229528E-2</v>
      </c>
      <c r="X28" s="18">
        <f>X24/X17</f>
        <v>0.10606466428706507</v>
      </c>
      <c r="Y28" s="18">
        <f>Y24/Y17</f>
        <v>0.11484637730449344</v>
      </c>
      <c r="Z28" s="18">
        <f t="shared" ref="Z28:AD28" si="38">Z24/Z17</f>
        <v>0.1719657944243595</v>
      </c>
      <c r="AA28" s="18">
        <f t="shared" si="38"/>
        <v>0.16487517799338161</v>
      </c>
      <c r="AB28" s="18">
        <f t="shared" si="38"/>
        <v>0.1843863316023534</v>
      </c>
      <c r="AC28" s="18">
        <f t="shared" si="38"/>
        <v>0.18699023568059031</v>
      </c>
      <c r="AD28" s="18">
        <f t="shared" si="38"/>
        <v>0.18392346352833505</v>
      </c>
      <c r="AE28" s="18">
        <f>AE24/AE17</f>
        <v>0.19427684050288618</v>
      </c>
      <c r="AF28" s="18">
        <f>AF24/AF17</f>
        <v>0.22820682213941951</v>
      </c>
      <c r="AG28" s="73">
        <f t="shared" ref="AG28:AJ28" si="39">AG24/AG17</f>
        <v>0.22820682213941951</v>
      </c>
      <c r="AH28" s="73">
        <f t="shared" si="39"/>
        <v>0.22820682213941948</v>
      </c>
      <c r="AI28" s="73">
        <f t="shared" si="39"/>
        <v>0.22820682213941945</v>
      </c>
      <c r="AJ28" s="73">
        <f t="shared" si="39"/>
        <v>0.22820682213941948</v>
      </c>
      <c r="AK28" s="73">
        <f>AK24/AK17</f>
        <v>0.22820682213941948</v>
      </c>
      <c r="AL28" s="73">
        <f>AL24/AL17</f>
        <v>0.22820682213941942</v>
      </c>
    </row>
    <row r="29" spans="1:38" x14ac:dyDescent="0.25">
      <c r="A29" s="29" t="s">
        <v>36</v>
      </c>
      <c r="B29" s="32"/>
      <c r="C29" s="31">
        <v>299281</v>
      </c>
      <c r="D29" s="31">
        <v>299281</v>
      </c>
      <c r="E29" s="31">
        <v>299281</v>
      </c>
      <c r="F29" s="31">
        <v>299281</v>
      </c>
      <c r="G29" s="31">
        <v>299287</v>
      </c>
      <c r="H29" s="31">
        <v>160939</v>
      </c>
      <c r="I29" s="31">
        <v>160939</v>
      </c>
      <c r="J29" s="31">
        <v>160939</v>
      </c>
      <c r="K29" s="31">
        <v>163439</v>
      </c>
      <c r="L29" s="31">
        <v>166939</v>
      </c>
      <c r="M29" s="50" t="s">
        <v>85</v>
      </c>
      <c r="N29" s="50" t="s">
        <v>85</v>
      </c>
      <c r="O29" s="50" t="s">
        <v>85</v>
      </c>
      <c r="P29" s="50" t="s">
        <v>85</v>
      </c>
      <c r="Q29" s="50" t="s">
        <v>85</v>
      </c>
      <c r="R29" s="50" t="s">
        <v>85</v>
      </c>
      <c r="S29" s="31">
        <f t="shared" si="14"/>
        <v>0</v>
      </c>
      <c r="T29" s="69" t="s">
        <v>78</v>
      </c>
      <c r="U29" s="16"/>
      <c r="W29" s="24">
        <f>W17/W10</f>
        <v>2.3626036590066071</v>
      </c>
      <c r="X29" s="24">
        <f>X17/X10</f>
        <v>2.2436035859994701</v>
      </c>
      <c r="Y29" s="24">
        <f>Y17/Y10</f>
        <v>2.1525675754054094</v>
      </c>
      <c r="Z29" s="24">
        <f t="shared" ref="Z29:AE29" si="40">Z17/Z10</f>
        <v>1.781074281638592</v>
      </c>
      <c r="AA29" s="24">
        <f t="shared" si="40"/>
        <v>1.4796094628655403</v>
      </c>
      <c r="AB29" s="24">
        <f t="shared" si="40"/>
        <v>1.4533944529065235</v>
      </c>
      <c r="AC29" s="24">
        <f t="shared" si="40"/>
        <v>1.3641114852777743</v>
      </c>
      <c r="AD29" s="24">
        <f t="shared" si="40"/>
        <v>1.3815158815149202</v>
      </c>
      <c r="AE29" s="24">
        <f t="shared" si="40"/>
        <v>1.383671413929163</v>
      </c>
      <c r="AF29" s="24">
        <f>AF17/AF10</f>
        <v>1.2731817749933059</v>
      </c>
      <c r="AG29" s="75">
        <f>AG17/AG10</f>
        <v>1.2451136950628985</v>
      </c>
      <c r="AH29" s="75">
        <f>AH17/AH10</f>
        <v>1.2451136950628985</v>
      </c>
      <c r="AI29" s="75">
        <f>AI17/AI10</f>
        <v>1.2451136950628985</v>
      </c>
      <c r="AJ29" s="75">
        <f t="shared" ref="AJ29:AL29" si="41">AJ17/AJ10</f>
        <v>1.2451136950628983</v>
      </c>
      <c r="AK29" s="75">
        <f t="shared" si="41"/>
        <v>1.2451136950628987</v>
      </c>
      <c r="AL29" s="75">
        <f t="shared" si="41"/>
        <v>1.2390405622218934</v>
      </c>
    </row>
    <row r="30" spans="1:38" x14ac:dyDescent="0.25">
      <c r="A30" s="29" t="s">
        <v>37</v>
      </c>
      <c r="B30" s="32"/>
      <c r="C30" s="31">
        <v>60620</v>
      </c>
      <c r="D30" s="31">
        <v>60620</v>
      </c>
      <c r="E30" s="31">
        <v>60620</v>
      </c>
      <c r="F30" s="31">
        <v>60620</v>
      </c>
      <c r="G30" s="31">
        <v>60614</v>
      </c>
      <c r="H30" s="31">
        <v>60614</v>
      </c>
      <c r="I30" s="31">
        <v>60614</v>
      </c>
      <c r="J30" s="31">
        <v>60614</v>
      </c>
      <c r="K30" s="31">
        <v>58114</v>
      </c>
      <c r="L30" s="31">
        <v>54614</v>
      </c>
      <c r="M30" s="50" t="s">
        <v>86</v>
      </c>
      <c r="N30" s="50" t="s">
        <v>86</v>
      </c>
      <c r="O30" s="50" t="s">
        <v>86</v>
      </c>
      <c r="P30" s="50" t="s">
        <v>86</v>
      </c>
      <c r="Q30" s="50" t="s">
        <v>86</v>
      </c>
      <c r="R30" s="50" t="s">
        <v>86</v>
      </c>
      <c r="S30" s="31">
        <f t="shared" si="14"/>
        <v>0</v>
      </c>
      <c r="T30" t="s">
        <v>79</v>
      </c>
      <c r="V30" s="20"/>
      <c r="W30" s="20">
        <f>W15/W19</f>
        <v>1.4750638100936817</v>
      </c>
      <c r="X30" s="20">
        <f>X15/X19</f>
        <v>2.53697172864663</v>
      </c>
      <c r="Y30" s="20">
        <f>Y15/Y19</f>
        <v>2.969161325381469</v>
      </c>
      <c r="Z30" s="20">
        <f t="shared" ref="Z30:AD30" si="42">Z15/Z19</f>
        <v>2.7406422268218611</v>
      </c>
      <c r="AA30" s="20">
        <f t="shared" si="42"/>
        <v>2.4245528604873963</v>
      </c>
      <c r="AB30" s="20">
        <f t="shared" si="42"/>
        <v>1.815737970316432</v>
      </c>
      <c r="AC30" s="20">
        <f t="shared" si="42"/>
        <v>1.6332498650680907</v>
      </c>
      <c r="AD30" s="20">
        <f t="shared" si="42"/>
        <v>1.4904114781914395</v>
      </c>
      <c r="AE30" s="20">
        <f>AE15/AE19</f>
        <v>1.181243419389806</v>
      </c>
      <c r="AF30" s="20">
        <f>AF15/AF19</f>
        <v>0.99657262410735969</v>
      </c>
      <c r="AG30" s="76">
        <f>AG15/AG19</f>
        <v>0.92719529365251385</v>
      </c>
      <c r="AH30" s="76">
        <f>AH15/AH19</f>
        <v>0.92719529365251374</v>
      </c>
      <c r="AI30" s="76">
        <f t="shared" ref="AI30:AL30" si="43">AI15/AI19</f>
        <v>0.92719529365251385</v>
      </c>
      <c r="AJ30" s="76">
        <f t="shared" si="43"/>
        <v>0.92719529365251419</v>
      </c>
      <c r="AK30" s="76">
        <f t="shared" si="43"/>
        <v>0.92719529365251441</v>
      </c>
      <c r="AL30" s="76">
        <f t="shared" si="43"/>
        <v>0.9271952936525143</v>
      </c>
    </row>
    <row r="31" spans="1:38" x14ac:dyDescent="0.25">
      <c r="A31" s="29" t="s">
        <v>38</v>
      </c>
      <c r="B31" s="32"/>
      <c r="C31" s="31">
        <v>754186</v>
      </c>
      <c r="D31" s="31">
        <v>783877</v>
      </c>
      <c r="E31" s="31">
        <v>869857</v>
      </c>
      <c r="F31" s="31">
        <v>924978</v>
      </c>
      <c r="G31" s="31">
        <v>982205</v>
      </c>
      <c r="H31" s="31">
        <v>1142210</v>
      </c>
      <c r="I31" s="31">
        <v>1191200</v>
      </c>
      <c r="J31" s="31">
        <v>1260331</v>
      </c>
      <c r="K31" s="31">
        <v>1296572</v>
      </c>
      <c r="L31" s="31">
        <v>1345580</v>
      </c>
      <c r="M31" s="49">
        <v>1377226</v>
      </c>
      <c r="N31" s="49">
        <f>M65*$N$2</f>
        <v>1404770.52</v>
      </c>
      <c r="O31" s="31">
        <f>M65*$O$2</f>
        <v>1432865.9304</v>
      </c>
      <c r="P31" s="31">
        <f>M65*$P$2</f>
        <v>1461523.2490080001</v>
      </c>
      <c r="Q31" s="31">
        <f>M65*$Q$2</f>
        <v>1490753.7139881602</v>
      </c>
      <c r="R31" s="31">
        <f t="shared" si="8"/>
        <v>1520568.7882679233</v>
      </c>
      <c r="S31" s="31">
        <f t="shared" si="14"/>
        <v>1535774.4761506028</v>
      </c>
      <c r="T31" t="s">
        <v>80</v>
      </c>
      <c r="V31" s="18"/>
      <c r="W31" s="18">
        <f>W27-((W18-W20)/W15)</f>
        <v>0.14566084960386502</v>
      </c>
      <c r="X31" s="18">
        <f>X27-((X18-X20)/X15)</f>
        <v>0.20891791458549097</v>
      </c>
      <c r="Y31" s="18">
        <f>Y27-((Y18-Y20)/Y15)</f>
        <v>0.21653079202599176</v>
      </c>
      <c r="Z31" s="18">
        <f t="shared" ref="Z31:AD31" si="44">Z27-((Z18-Z20)/Z15)</f>
        <v>0.25566359594768068</v>
      </c>
      <c r="AA31" s="18">
        <f t="shared" si="44"/>
        <v>0.20023855319145054</v>
      </c>
      <c r="AB31" s="18">
        <f t="shared" si="44"/>
        <v>0.2060410784074046</v>
      </c>
      <c r="AC31" s="18">
        <f t="shared" si="44"/>
        <v>0.20603559243447417</v>
      </c>
      <c r="AD31" s="18">
        <f t="shared" si="44"/>
        <v>0.19393297464320955</v>
      </c>
      <c r="AE31" s="18">
        <f>AE27-((AE18-AE20)/AE15)</f>
        <v>0.19848875839869601</v>
      </c>
      <c r="AF31" s="18">
        <f>AF27-((AF18-AF20)/AF15)</f>
        <v>0.21422552014668916</v>
      </c>
      <c r="AG31" s="73">
        <f>AG27-((AG18-AG20)/AG15)</f>
        <v>0.20670550120298437</v>
      </c>
      <c r="AH31" s="73">
        <f>AH27-((AH18-AH20)/AH15)</f>
        <v>0.20670550120298431</v>
      </c>
      <c r="AI31" s="73">
        <f t="shared" ref="AI31:AL31" si="45">AI27-((AI18-AI20)/AI15)</f>
        <v>0.20670550120298434</v>
      </c>
      <c r="AJ31" s="73">
        <f t="shared" si="45"/>
        <v>0.20670550120298425</v>
      </c>
      <c r="AK31" s="73">
        <f t="shared" si="45"/>
        <v>0.20670550120298431</v>
      </c>
      <c r="AL31" s="73">
        <f t="shared" si="45"/>
        <v>0.20569728004796062</v>
      </c>
    </row>
    <row r="32" spans="1:38" x14ac:dyDescent="0.25">
      <c r="A32" s="29" t="s">
        <v>39</v>
      </c>
      <c r="B32" s="32"/>
      <c r="C32" s="31">
        <v>5860784</v>
      </c>
      <c r="D32" s="31">
        <v>5897603</v>
      </c>
      <c r="E32" s="31">
        <v>6115961</v>
      </c>
      <c r="F32" s="31">
        <v>6371082</v>
      </c>
      <c r="G32" s="31">
        <v>7032020</v>
      </c>
      <c r="H32" s="31">
        <v>1290461</v>
      </c>
      <c r="I32" s="31">
        <v>1928673</v>
      </c>
      <c r="J32" s="31">
        <v>2719936</v>
      </c>
      <c r="K32" s="31">
        <v>3589781</v>
      </c>
      <c r="L32" s="31">
        <v>4562263</v>
      </c>
      <c r="M32" s="49">
        <v>5698316</v>
      </c>
      <c r="N32" s="49">
        <f>M66*$N$2</f>
        <v>5812282.3200000003</v>
      </c>
      <c r="O32" s="31">
        <f>M66*$O$2</f>
        <v>5928527.9664000003</v>
      </c>
      <c r="P32" s="31">
        <f>M66*$P$2</f>
        <v>6047098.5257280013</v>
      </c>
      <c r="Q32" s="31">
        <f t="shared" si="7"/>
        <v>6168040.4962425614</v>
      </c>
      <c r="R32" s="31">
        <f t="shared" si="8"/>
        <v>6291401.3061674125</v>
      </c>
      <c r="S32" s="31">
        <f t="shared" si="14"/>
        <v>6354315.3192290869</v>
      </c>
      <c r="AG32" s="68"/>
      <c r="AH32" s="68"/>
      <c r="AI32" s="68"/>
      <c r="AJ32" s="68"/>
      <c r="AK32" s="68"/>
      <c r="AL32" s="68"/>
    </row>
    <row r="33" spans="1:38" x14ac:dyDescent="0.25">
      <c r="A33" s="29" t="s">
        <v>40</v>
      </c>
      <c r="B33" s="32"/>
      <c r="C33" s="31">
        <v>-5161236</v>
      </c>
      <c r="D33" s="31">
        <v>-5672359</v>
      </c>
      <c r="E33" s="31">
        <v>-6183975</v>
      </c>
      <c r="F33" s="31">
        <v>-6426877</v>
      </c>
      <c r="G33" s="31">
        <v>-6618625</v>
      </c>
      <c r="H33" s="31">
        <v>-591036</v>
      </c>
      <c r="I33" s="31">
        <v>-768992</v>
      </c>
      <c r="J33" s="31">
        <v>-1195376</v>
      </c>
      <c r="K33" s="31">
        <v>-1556029</v>
      </c>
      <c r="L33" s="31">
        <v>-1800232</v>
      </c>
      <c r="M33" s="49">
        <v>-2278551</v>
      </c>
      <c r="N33" s="49">
        <f>M67*$N$2</f>
        <v>-2324122.02</v>
      </c>
      <c r="O33" s="31">
        <f>M67*$O$2</f>
        <v>-2370604.4604000002</v>
      </c>
      <c r="P33" s="31">
        <f>M67*$P$2</f>
        <v>-2418016.5496080001</v>
      </c>
      <c r="Q33" s="31">
        <f t="shared" si="7"/>
        <v>-2466376.8806001605</v>
      </c>
      <c r="R33" s="31">
        <f t="shared" si="8"/>
        <v>-2515704.4182121637</v>
      </c>
      <c r="S33" s="31">
        <f t="shared" si="14"/>
        <v>-2540861.4623942855</v>
      </c>
      <c r="T33" t="s">
        <v>81</v>
      </c>
      <c r="V33" s="18"/>
      <c r="W33" s="18">
        <f>W27+(W30*W31)</f>
        <v>0.40718216420042352</v>
      </c>
      <c r="X33" s="18">
        <f t="shared" ref="X33:AD33" si="46">X27+(X30*X31)</f>
        <v>0.7679859040534911</v>
      </c>
      <c r="Y33" s="18">
        <f t="shared" si="46"/>
        <v>0.8901294413762213</v>
      </c>
      <c r="Z33" s="18">
        <f t="shared" si="46"/>
        <v>1.006966300686112</v>
      </c>
      <c r="AA33" s="18">
        <f t="shared" si="46"/>
        <v>0.72943983047083683</v>
      </c>
      <c r="AB33" s="18">
        <f t="shared" si="46"/>
        <v>0.64210268105191293</v>
      </c>
      <c r="AC33" s="18">
        <f t="shared" si="46"/>
        <v>0.59158313166952015</v>
      </c>
      <c r="AD33" s="18">
        <f t="shared" si="46"/>
        <v>0.54313311725567393</v>
      </c>
      <c r="AE33" s="18">
        <f>AE27+(AE30*AE31)</f>
        <v>0.50327885027363173</v>
      </c>
      <c r="AF33" s="18">
        <f>AF27+(AF30*AF31)</f>
        <v>0.50404005564039778</v>
      </c>
      <c r="AG33" s="73">
        <f>AG27+(AG30*AG31)</f>
        <v>0.47579980744006545</v>
      </c>
      <c r="AH33" s="73">
        <f t="shared" ref="AH33:AL33" si="47">AH27+(AH30*AH31)</f>
        <v>0.47579980744006534</v>
      </c>
      <c r="AI33" s="73">
        <f t="shared" si="47"/>
        <v>0.47579980744006539</v>
      </c>
      <c r="AJ33" s="73">
        <f t="shared" si="47"/>
        <v>0.47579980744006534</v>
      </c>
      <c r="AK33" s="73">
        <f t="shared" si="47"/>
        <v>0.47579980744006556</v>
      </c>
      <c r="AL33" s="73">
        <f t="shared" si="47"/>
        <v>0.47347905918409017</v>
      </c>
    </row>
    <row r="34" spans="1:38" x14ac:dyDescent="0.25">
      <c r="A34" s="29" t="s">
        <v>41</v>
      </c>
      <c r="B34" s="32"/>
      <c r="C34" s="31">
        <v>-358573</v>
      </c>
      <c r="D34" s="31">
        <v>-371025</v>
      </c>
      <c r="E34" s="31">
        <v>-375888</v>
      </c>
      <c r="F34" s="31">
        <v>-313746</v>
      </c>
      <c r="G34" s="31">
        <v>-356780</v>
      </c>
      <c r="H34" s="31">
        <v>-323966</v>
      </c>
      <c r="I34" s="31">
        <v>-338082</v>
      </c>
      <c r="J34" s="31">
        <v>-249215</v>
      </c>
      <c r="K34" s="31">
        <v>-252333</v>
      </c>
      <c r="L34" s="31">
        <v>-230078</v>
      </c>
      <c r="M34" s="49">
        <v>-303890</v>
      </c>
      <c r="N34" s="49">
        <f>M68*$N$2</f>
        <v>-309967.8</v>
      </c>
      <c r="O34" s="31">
        <f>M68*$O$2</f>
        <v>-316167.15600000002</v>
      </c>
      <c r="P34" s="31">
        <f>M68*$P$2</f>
        <v>-322490.49912000005</v>
      </c>
      <c r="Q34" s="31">
        <f t="shared" si="7"/>
        <v>-328940.30910240003</v>
      </c>
      <c r="R34" s="31">
        <f t="shared" si="8"/>
        <v>-335519.11528444808</v>
      </c>
      <c r="S34" s="31">
        <f t="shared" si="14"/>
        <v>-338874.30643729254</v>
      </c>
      <c r="AG34" s="68"/>
      <c r="AH34" s="68"/>
      <c r="AI34" s="68"/>
      <c r="AJ34" s="68"/>
      <c r="AK34" s="68"/>
      <c r="AL34" s="68"/>
    </row>
    <row r="35" spans="1:38" x14ac:dyDescent="0.25">
      <c r="A35" s="11" t="s">
        <v>42</v>
      </c>
      <c r="B35" s="12"/>
      <c r="C35" s="14">
        <v>1455062</v>
      </c>
      <c r="D35" s="14">
        <v>997997</v>
      </c>
      <c r="E35" s="14">
        <v>785856</v>
      </c>
      <c r="F35" s="14">
        <v>915338</v>
      </c>
      <c r="G35" s="14">
        <v>1398721</v>
      </c>
      <c r="H35" s="14">
        <v>1739222</v>
      </c>
      <c r="I35" s="14">
        <v>2234352</v>
      </c>
      <c r="J35" s="14">
        <v>2757229</v>
      </c>
      <c r="K35" s="14">
        <v>3299544</v>
      </c>
      <c r="L35" s="14">
        <v>4099086</v>
      </c>
      <c r="M35" s="46">
        <v>4714654</v>
      </c>
      <c r="N35" s="46">
        <f>N18-N28</f>
        <v>4808947.0800000019</v>
      </c>
      <c r="O35" s="46">
        <f t="shared" ref="O35:Q35" si="48">O18-O28</f>
        <v>4905126.0216000006</v>
      </c>
      <c r="P35" s="46">
        <f t="shared" si="48"/>
        <v>5003228.5420320015</v>
      </c>
      <c r="Q35" s="46">
        <f t="shared" si="48"/>
        <v>5103293.1128726378</v>
      </c>
      <c r="R35" s="46">
        <f>R18-R28</f>
        <v>5205358.9751300924</v>
      </c>
      <c r="S35" s="46">
        <f>S18-S28</f>
        <v>5257412.5648813937</v>
      </c>
      <c r="T35" s="6"/>
      <c r="U35" s="6"/>
      <c r="V35" s="6"/>
      <c r="W35" s="6"/>
      <c r="X35" s="6"/>
      <c r="Y35" s="6"/>
      <c r="Z35" s="6"/>
      <c r="AA35" s="6"/>
      <c r="AB35" s="6"/>
      <c r="AC35" s="6"/>
      <c r="AF35">
        <v>2024</v>
      </c>
      <c r="AG35" s="69">
        <v>2025</v>
      </c>
      <c r="AH35" s="69">
        <v>2026</v>
      </c>
      <c r="AI35" s="69">
        <v>2027</v>
      </c>
      <c r="AJ35" s="69">
        <v>2028</v>
      </c>
      <c r="AK35" s="69">
        <v>2029</v>
      </c>
      <c r="AL35" s="102" t="s">
        <v>104</v>
      </c>
    </row>
    <row r="36" spans="1:38" x14ac:dyDescent="0.25">
      <c r="A36" s="29" t="s">
        <v>43</v>
      </c>
      <c r="B36" s="32"/>
      <c r="C36" s="31">
        <v>64468</v>
      </c>
      <c r="D36" s="31">
        <v>49465</v>
      </c>
      <c r="E36" s="31">
        <v>41831</v>
      </c>
      <c r="F36" s="31">
        <v>16227</v>
      </c>
      <c r="G36" s="31">
        <v>8545</v>
      </c>
      <c r="H36" s="31">
        <v>5772</v>
      </c>
      <c r="I36" s="31">
        <v>3531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1">
        <f>M70*$P$2</f>
        <v>0</v>
      </c>
      <c r="Q36" s="31">
        <f t="shared" si="7"/>
        <v>0</v>
      </c>
      <c r="R36" s="31">
        <f t="shared" si="8"/>
        <v>0</v>
      </c>
      <c r="S36" s="31">
        <f t="shared" si="14"/>
        <v>0</v>
      </c>
      <c r="T36" t="s">
        <v>83</v>
      </c>
      <c r="U36" s="6"/>
      <c r="V36" s="6"/>
      <c r="W36" s="6"/>
      <c r="X36" s="6"/>
      <c r="Y36" s="6"/>
      <c r="Z36" s="6"/>
      <c r="AA36" s="6"/>
      <c r="AB36" s="6"/>
      <c r="AC36" s="6"/>
      <c r="AG36" s="68"/>
      <c r="AH36" s="68"/>
      <c r="AI36" s="68"/>
      <c r="AJ36" s="68"/>
      <c r="AK36" s="68"/>
      <c r="AL36" s="68"/>
    </row>
    <row r="37" spans="1:38" x14ac:dyDescent="0.25">
      <c r="A37" s="11" t="s">
        <v>44</v>
      </c>
      <c r="B37" s="12"/>
      <c r="C37" s="14">
        <v>1519530</v>
      </c>
      <c r="D37" s="14">
        <v>1047462</v>
      </c>
      <c r="E37" s="14">
        <v>827687</v>
      </c>
      <c r="F37" s="14">
        <v>931565</v>
      </c>
      <c r="G37" s="14">
        <v>1407266</v>
      </c>
      <c r="H37" s="14">
        <v>1744994</v>
      </c>
      <c r="I37" s="14">
        <v>2237883</v>
      </c>
      <c r="J37" s="14">
        <v>2757229</v>
      </c>
      <c r="K37" s="14">
        <v>3299544</v>
      </c>
      <c r="L37" s="14">
        <v>4099086</v>
      </c>
      <c r="M37" s="46">
        <v>4714654</v>
      </c>
      <c r="N37" s="46">
        <f t="shared" ref="N37:S37" si="49">N18-N28</f>
        <v>4808947.0800000019</v>
      </c>
      <c r="O37" s="46">
        <f t="shared" si="49"/>
        <v>4905126.0216000006</v>
      </c>
      <c r="P37" s="46">
        <f t="shared" si="49"/>
        <v>5003228.5420320015</v>
      </c>
      <c r="Q37" s="46">
        <f t="shared" si="49"/>
        <v>5103293.1128726378</v>
      </c>
      <c r="R37" s="46">
        <f t="shared" si="49"/>
        <v>5205358.9751300924</v>
      </c>
      <c r="S37" s="46">
        <f t="shared" si="49"/>
        <v>5257412.5648813937</v>
      </c>
      <c r="T37" t="s">
        <v>72</v>
      </c>
      <c r="V37" s="17">
        <f t="shared" ref="V37:AL37" si="50">V17</f>
        <v>7421768</v>
      </c>
      <c r="W37" s="17">
        <f t="shared" si="50"/>
        <v>7386626</v>
      </c>
      <c r="X37" s="17">
        <f t="shared" si="50"/>
        <v>7440181</v>
      </c>
      <c r="Y37" s="17">
        <f t="shared" si="50"/>
        <v>7515426</v>
      </c>
      <c r="Z37" s="17">
        <f t="shared" si="50"/>
        <v>7791069</v>
      </c>
      <c r="AA37" s="17">
        <f t="shared" si="50"/>
        <v>7986252</v>
      </c>
      <c r="AB37" s="17">
        <f t="shared" si="50"/>
        <v>8149719</v>
      </c>
      <c r="AC37" s="17">
        <f t="shared" si="50"/>
        <v>8971337</v>
      </c>
      <c r="AD37" s="17">
        <f t="shared" si="50"/>
        <v>10419294</v>
      </c>
      <c r="AE37" s="17">
        <f t="shared" si="50"/>
        <v>11164992</v>
      </c>
      <c r="AF37" s="17">
        <f>AF17</f>
        <v>11202263</v>
      </c>
      <c r="AG37" s="72">
        <f t="shared" si="50"/>
        <v>11426308.26</v>
      </c>
      <c r="AH37" s="72">
        <f t="shared" si="50"/>
        <v>11654834.4252</v>
      </c>
      <c r="AI37" s="72">
        <f t="shared" si="50"/>
        <v>11887931.113704002</v>
      </c>
      <c r="AJ37" s="72">
        <f t="shared" si="50"/>
        <v>12125689.735978082</v>
      </c>
      <c r="AK37" s="72">
        <f t="shared" si="50"/>
        <v>12368203.530697644</v>
      </c>
      <c r="AL37" s="72">
        <f>AL17</f>
        <v>12491885.566004621</v>
      </c>
    </row>
    <row r="38" spans="1:38" x14ac:dyDescent="0.25">
      <c r="T38" t="s">
        <v>63</v>
      </c>
      <c r="V38" s="16">
        <f>IS!C36</f>
        <v>901207.8</v>
      </c>
      <c r="W38" s="16">
        <f>IS!D36</f>
        <v>611842.44999999995</v>
      </c>
      <c r="X38" s="16">
        <f>IS!E36</f>
        <v>794795.95</v>
      </c>
      <c r="Y38" s="16">
        <f>IS!F36</f>
        <v>886111.3</v>
      </c>
      <c r="Z38" s="16">
        <f>IS!G36</f>
        <v>1355498.23</v>
      </c>
      <c r="AA38" s="16">
        <f>IS!H36</f>
        <v>1331653.75</v>
      </c>
      <c r="AB38" s="16">
        <f>IS!I36</f>
        <v>1531745.46</v>
      </c>
      <c r="AC38" s="16">
        <f>IS!J36</f>
        <v>1702559.43</v>
      </c>
      <c r="AD38" s="16">
        <f>IS!K36</f>
        <v>1959646.03</v>
      </c>
      <c r="AE38" s="16">
        <f>IS!L36</f>
        <v>2218915.15</v>
      </c>
      <c r="AF38" s="16">
        <f>IS!M36</f>
        <v>2610747.4500000002</v>
      </c>
      <c r="AG38" s="70">
        <f>IS!N36</f>
        <v>2662962.3989999997</v>
      </c>
      <c r="AH38" s="70">
        <f>IS!O36</f>
        <v>2716221.6469799997</v>
      </c>
      <c r="AI38" s="70">
        <f>IS!P36</f>
        <v>2770546.0799195999</v>
      </c>
      <c r="AJ38" s="70">
        <f>IS!Q36</f>
        <v>2825957.001517992</v>
      </c>
      <c r="AK38" s="70">
        <f>IS!R36</f>
        <v>2882476.1415483519</v>
      </c>
      <c r="AL38" s="70">
        <f>IS!S36</f>
        <v>2911300.9029638353</v>
      </c>
    </row>
    <row r="39" spans="1:38" x14ac:dyDescent="0.25">
      <c r="A39" s="2"/>
      <c r="T39" t="s">
        <v>73</v>
      </c>
      <c r="V39" s="16"/>
      <c r="W39" s="16">
        <f t="shared" ref="W39:AJ39" si="51">W19</f>
        <v>1283496</v>
      </c>
      <c r="X39" s="16">
        <f t="shared" si="51"/>
        <v>937574.5</v>
      </c>
      <c r="Y39" s="16">
        <f t="shared" si="51"/>
        <v>879626</v>
      </c>
      <c r="Z39" s="16">
        <f t="shared" si="51"/>
        <v>1169415.5</v>
      </c>
      <c r="AA39" s="16">
        <f t="shared" si="51"/>
        <v>1576130</v>
      </c>
      <c r="AB39" s="16">
        <f t="shared" si="51"/>
        <v>1991438.5</v>
      </c>
      <c r="AC39" s="16">
        <f t="shared" si="51"/>
        <v>2497556</v>
      </c>
      <c r="AD39" s="16">
        <f t="shared" si="51"/>
        <v>3028386.5</v>
      </c>
      <c r="AE39" s="16">
        <f t="shared" si="51"/>
        <v>3699315</v>
      </c>
      <c r="AF39" s="16">
        <f t="shared" si="51"/>
        <v>4406870</v>
      </c>
      <c r="AG39" s="70">
        <f t="shared" si="51"/>
        <v>4761800.540000001</v>
      </c>
      <c r="AH39" s="70">
        <f t="shared" si="51"/>
        <v>4857036.5508000012</v>
      </c>
      <c r="AI39" s="70">
        <f t="shared" si="51"/>
        <v>4954177.2818160011</v>
      </c>
      <c r="AJ39" s="70">
        <f t="shared" si="51"/>
        <v>5053260.8274523197</v>
      </c>
      <c r="AK39" s="70">
        <f>AK19</f>
        <v>5154326.0440013651</v>
      </c>
      <c r="AL39" s="70">
        <f>AL19</f>
        <v>5231385.770005743</v>
      </c>
    </row>
    <row r="40" spans="1:38" x14ac:dyDescent="0.25">
      <c r="A40" s="3"/>
      <c r="C40" s="4"/>
      <c r="D40" s="4"/>
      <c r="E40" s="4"/>
      <c r="F40" s="4"/>
      <c r="G40" s="4"/>
      <c r="H40" s="4"/>
      <c r="I40" s="4"/>
      <c r="J40" s="4"/>
      <c r="K40" s="4"/>
      <c r="L40" s="4"/>
      <c r="T40" s="16" t="s">
        <v>74</v>
      </c>
      <c r="U40" s="16"/>
      <c r="V40" s="16">
        <f>IS!C20</f>
        <v>846912</v>
      </c>
      <c r="W40" s="16">
        <f>IS!D20</f>
        <v>512951</v>
      </c>
      <c r="X40" s="16">
        <f>IS!E20</f>
        <v>720044</v>
      </c>
      <c r="Y40" s="16">
        <f>IS!F20</f>
        <v>782981</v>
      </c>
      <c r="Z40" s="16">
        <f>IS!G20</f>
        <v>1177562</v>
      </c>
      <c r="AA40" s="16">
        <f>IS!H20</f>
        <v>1149692</v>
      </c>
      <c r="AB40" s="16">
        <f>IS!I20</f>
        <v>1278708</v>
      </c>
      <c r="AC40" s="16">
        <f>IS!J20</f>
        <v>1477512</v>
      </c>
      <c r="AD40" s="16">
        <f>IS!K20</f>
        <v>1644817</v>
      </c>
      <c r="AE40" s="16">
        <f>IS!L20</f>
        <v>1861787</v>
      </c>
      <c r="AF40" s="16">
        <f>IS!M20</f>
        <v>2221239</v>
      </c>
      <c r="AG40" s="70">
        <f>IS!N20</f>
        <v>2265663.7799999998</v>
      </c>
      <c r="AH40" s="70">
        <f>IS!O20</f>
        <v>2310977.0555999996</v>
      </c>
      <c r="AI40" s="70">
        <f>IS!P20</f>
        <v>2357196.5967119997</v>
      </c>
      <c r="AJ40" s="70">
        <f>IS!Q20</f>
        <v>2404340.52864624</v>
      </c>
      <c r="AK40" s="70">
        <f>IS!R20</f>
        <v>2452427.3392191646</v>
      </c>
      <c r="AL40" s="70">
        <f>IS!S20</f>
        <v>2476951.6126113567</v>
      </c>
    </row>
    <row r="41" spans="1:38" x14ac:dyDescent="0.25">
      <c r="A41" s="3"/>
      <c r="C41" s="4"/>
      <c r="D41" s="4"/>
      <c r="E41" s="4"/>
      <c r="F41" s="4"/>
      <c r="G41" s="4"/>
      <c r="H41" s="4"/>
      <c r="I41" s="4"/>
      <c r="J41" s="4"/>
      <c r="K41" s="107" t="s">
        <v>172</v>
      </c>
      <c r="L41" s="107"/>
      <c r="M41" s="107"/>
      <c r="AG41" s="68"/>
      <c r="AH41" s="68"/>
      <c r="AI41" s="68"/>
      <c r="AJ41" s="68"/>
      <c r="AK41" s="68"/>
      <c r="AL41" s="68"/>
    </row>
    <row r="42" spans="1:38" x14ac:dyDescent="0.25">
      <c r="A42" s="3"/>
      <c r="C42" s="4"/>
      <c r="D42" s="4"/>
      <c r="E42" s="4"/>
      <c r="F42" s="4"/>
      <c r="G42" s="4"/>
      <c r="H42" s="4"/>
      <c r="I42" s="4"/>
      <c r="J42" s="4"/>
      <c r="K42" s="86" t="s">
        <v>16</v>
      </c>
      <c r="L42" s="86"/>
      <c r="M42" s="77">
        <f>M8/$M$2</f>
        <v>6.5231998213218165E-2</v>
      </c>
      <c r="Z42" s="34"/>
      <c r="AG42" s="68"/>
      <c r="AH42" s="68"/>
      <c r="AI42" s="68"/>
      <c r="AJ42" s="68"/>
      <c r="AK42" s="68"/>
      <c r="AL42" s="68"/>
    </row>
    <row r="43" spans="1:38" x14ac:dyDescent="0.25">
      <c r="A43" s="3"/>
      <c r="C43" s="4"/>
      <c r="D43" s="4"/>
      <c r="E43" s="4"/>
      <c r="F43" s="4"/>
      <c r="G43" s="4"/>
      <c r="H43" s="4"/>
      <c r="I43" s="4"/>
      <c r="J43" s="4"/>
      <c r="K43" s="86" t="s">
        <v>17</v>
      </c>
      <c r="L43" s="86"/>
      <c r="M43" s="77">
        <f>M9/$M$2</f>
        <v>7.145002755246864E-2</v>
      </c>
      <c r="O43" s="62"/>
      <c r="T43" t="s">
        <v>75</v>
      </c>
      <c r="V43" s="34"/>
      <c r="W43" s="34">
        <f t="shared" ref="W43:AE43" si="52">W40/W39</f>
        <v>0.39965142080692112</v>
      </c>
      <c r="X43" s="34">
        <f t="shared" si="52"/>
        <v>0.76798590405349121</v>
      </c>
      <c r="Y43" s="34">
        <f t="shared" si="52"/>
        <v>0.8901294413762213</v>
      </c>
      <c r="Z43" s="34">
        <f t="shared" si="52"/>
        <v>1.006966300686112</v>
      </c>
      <c r="AA43" s="34">
        <f t="shared" si="52"/>
        <v>0.72943983047083683</v>
      </c>
      <c r="AB43" s="34">
        <f t="shared" si="52"/>
        <v>0.64210268105191293</v>
      </c>
      <c r="AC43" s="34">
        <f t="shared" si="52"/>
        <v>0.59158313166952015</v>
      </c>
      <c r="AD43" s="34">
        <f t="shared" si="52"/>
        <v>0.54313311725567393</v>
      </c>
      <c r="AE43" s="34">
        <f t="shared" si="52"/>
        <v>0.50327885027363173</v>
      </c>
      <c r="AF43" s="34">
        <f>AF40/AF39</f>
        <v>0.50404005564039789</v>
      </c>
      <c r="AG43" s="77">
        <f t="shared" ref="AG43:AL43" si="53">AG40/AG39</f>
        <v>0.47579980744006539</v>
      </c>
      <c r="AH43" s="77">
        <f t="shared" si="53"/>
        <v>0.47579980744006534</v>
      </c>
      <c r="AI43" s="77">
        <f t="shared" si="53"/>
        <v>0.47579980744006534</v>
      </c>
      <c r="AJ43" s="77">
        <f t="shared" si="53"/>
        <v>0.47579980744006556</v>
      </c>
      <c r="AK43" s="77">
        <f t="shared" si="53"/>
        <v>0.47579980744006561</v>
      </c>
      <c r="AL43" s="77">
        <f t="shared" si="53"/>
        <v>0.47347905918409022</v>
      </c>
    </row>
    <row r="44" spans="1:38" x14ac:dyDescent="0.25">
      <c r="A44" s="3"/>
      <c r="C44" s="4"/>
      <c r="D44" s="4"/>
      <c r="E44" s="4"/>
      <c r="F44" s="4"/>
      <c r="G44" s="4"/>
      <c r="H44" s="4"/>
      <c r="I44" s="4"/>
      <c r="J44" s="4"/>
      <c r="K44" s="86" t="s">
        <v>18</v>
      </c>
      <c r="L44" s="86"/>
      <c r="M44" s="77">
        <f>M10/$M$2</f>
        <v>0.11195005866225423</v>
      </c>
      <c r="T44" s="69" t="s">
        <v>63</v>
      </c>
      <c r="V44" s="35">
        <f t="shared" ref="V44:AE44" si="54">V38</f>
        <v>901207.8</v>
      </c>
      <c r="W44" s="35">
        <f t="shared" si="54"/>
        <v>611842.44999999995</v>
      </c>
      <c r="X44" s="35">
        <f t="shared" si="54"/>
        <v>794795.95</v>
      </c>
      <c r="Y44" s="35">
        <f t="shared" si="54"/>
        <v>886111.3</v>
      </c>
      <c r="Z44" s="35">
        <f t="shared" si="54"/>
        <v>1355498.23</v>
      </c>
      <c r="AA44" s="35">
        <f t="shared" si="54"/>
        <v>1331653.75</v>
      </c>
      <c r="AB44" s="35">
        <f t="shared" si="54"/>
        <v>1531745.46</v>
      </c>
      <c r="AC44" s="35">
        <f t="shared" si="54"/>
        <v>1702559.43</v>
      </c>
      <c r="AD44" s="35">
        <f t="shared" si="54"/>
        <v>1959646.03</v>
      </c>
      <c r="AE44" s="35">
        <f t="shared" si="54"/>
        <v>2218915.15</v>
      </c>
      <c r="AF44" s="35">
        <f>AF38</f>
        <v>2610747.4500000002</v>
      </c>
      <c r="AG44" s="78">
        <f t="shared" ref="AG44:AL44" si="55">AG38</f>
        <v>2662962.3989999997</v>
      </c>
      <c r="AH44" s="78">
        <f t="shared" si="55"/>
        <v>2716221.6469799997</v>
      </c>
      <c r="AI44" s="78">
        <f t="shared" si="55"/>
        <v>2770546.0799195999</v>
      </c>
      <c r="AJ44" s="78">
        <f t="shared" si="55"/>
        <v>2825957.001517992</v>
      </c>
      <c r="AK44" s="78">
        <f t="shared" si="55"/>
        <v>2882476.1415483519</v>
      </c>
      <c r="AL44" s="78">
        <f t="shared" si="55"/>
        <v>2911300.9029638353</v>
      </c>
    </row>
    <row r="45" spans="1:38" x14ac:dyDescent="0.25">
      <c r="A45" s="5"/>
      <c r="C45" s="6"/>
      <c r="D45" s="59"/>
      <c r="E45" s="6"/>
      <c r="F45" s="6"/>
      <c r="G45" s="6"/>
      <c r="H45" s="6"/>
      <c r="I45" s="6"/>
      <c r="J45" s="6"/>
      <c r="K45" s="86" t="s">
        <v>20</v>
      </c>
      <c r="L45" s="86"/>
      <c r="M45" s="77">
        <f t="shared" ref="M45:M70" si="56">M11/$M$2</f>
        <v>8.6965910370074326E-2</v>
      </c>
      <c r="T45" s="69" t="s">
        <v>66</v>
      </c>
      <c r="V45" s="16">
        <f t="shared" ref="V45:AL45" si="57">V9</f>
        <v>3131494</v>
      </c>
      <c r="W45" s="16">
        <f t="shared" si="57"/>
        <v>3121460</v>
      </c>
      <c r="X45" s="16">
        <f t="shared" si="57"/>
        <v>3510889</v>
      </c>
      <c r="Y45" s="16">
        <f t="shared" si="57"/>
        <v>3471866</v>
      </c>
      <c r="Z45" s="16">
        <f t="shared" si="57"/>
        <v>5276864</v>
      </c>
      <c r="AA45" s="16">
        <f t="shared" si="57"/>
        <v>5518217</v>
      </c>
      <c r="AB45" s="16">
        <f t="shared" si="57"/>
        <v>5696521</v>
      </c>
      <c r="AC45" s="16">
        <f t="shared" si="57"/>
        <v>7456857</v>
      </c>
      <c r="AD45" s="16">
        <f t="shared" si="57"/>
        <v>7627000</v>
      </c>
      <c r="AE45" s="16">
        <f t="shared" si="57"/>
        <v>8511213</v>
      </c>
      <c r="AF45" s="16">
        <f t="shared" si="57"/>
        <v>9086059</v>
      </c>
      <c r="AG45" s="70">
        <f t="shared" si="57"/>
        <v>9267780.1800000016</v>
      </c>
      <c r="AH45" s="70">
        <f t="shared" si="57"/>
        <v>9453135.7835999988</v>
      </c>
      <c r="AI45" s="70">
        <f t="shared" si="57"/>
        <v>9642198.4992720038</v>
      </c>
      <c r="AJ45" s="70">
        <f t="shared" si="57"/>
        <v>9835042.4692574423</v>
      </c>
      <c r="AK45" s="70">
        <f t="shared" si="57"/>
        <v>10031743.31864259</v>
      </c>
      <c r="AL45" s="70">
        <f t="shared" si="57"/>
        <v>10132060.751829015</v>
      </c>
    </row>
    <row r="46" spans="1:38" x14ac:dyDescent="0.25">
      <c r="A46" s="5"/>
      <c r="C46" s="7"/>
      <c r="D46" s="7"/>
      <c r="E46" s="7"/>
      <c r="F46" s="7"/>
      <c r="G46" s="7"/>
      <c r="H46" s="7"/>
      <c r="I46" s="7"/>
      <c r="J46" s="7"/>
      <c r="K46" s="87" t="s">
        <v>21</v>
      </c>
      <c r="L46" s="87"/>
      <c r="M46" s="77"/>
      <c r="T46" t="s">
        <v>70</v>
      </c>
      <c r="V46" s="16">
        <f t="shared" ref="V46:AL46" si="58">V14</f>
        <v>1712479</v>
      </c>
      <c r="W46" s="16">
        <f t="shared" si="58"/>
        <v>2073998</v>
      </c>
      <c r="X46" s="16">
        <f t="shared" si="58"/>
        <v>2683202</v>
      </c>
      <c r="Y46" s="16">
        <f t="shared" si="58"/>
        <v>2540301</v>
      </c>
      <c r="Z46" s="16">
        <f t="shared" si="58"/>
        <v>3869598</v>
      </c>
      <c r="AA46" s="16">
        <f t="shared" si="58"/>
        <v>3773223</v>
      </c>
      <c r="AB46" s="16">
        <f t="shared" si="58"/>
        <v>3458638</v>
      </c>
      <c r="AC46" s="16">
        <f t="shared" si="58"/>
        <v>4699628</v>
      </c>
      <c r="AD46" s="16">
        <f t="shared" si="58"/>
        <v>4327456</v>
      </c>
      <c r="AE46" s="16">
        <f t="shared" si="58"/>
        <v>4412127</v>
      </c>
      <c r="AF46" s="16">
        <f t="shared" si="58"/>
        <v>4371405</v>
      </c>
      <c r="AG46" s="70">
        <f t="shared" si="58"/>
        <v>4458833.0999999996</v>
      </c>
      <c r="AH46" s="70">
        <f t="shared" si="58"/>
        <v>4548009.7620000001</v>
      </c>
      <c r="AI46" s="70">
        <f t="shared" si="58"/>
        <v>4638969.9572400004</v>
      </c>
      <c r="AJ46" s="70">
        <f t="shared" si="58"/>
        <v>4731749.3563848007</v>
      </c>
      <c r="AK46" s="70">
        <f t="shared" si="58"/>
        <v>4826384.343512496</v>
      </c>
      <c r="AL46" s="70">
        <f t="shared" si="58"/>
        <v>4874648.1869476223</v>
      </c>
    </row>
    <row r="47" spans="1:38" x14ac:dyDescent="0.25">
      <c r="A47" s="5"/>
      <c r="C47" s="6"/>
      <c r="D47" s="6"/>
      <c r="E47" s="6"/>
      <c r="F47" s="6"/>
      <c r="G47" s="6"/>
      <c r="H47" s="6"/>
      <c r="I47" s="6"/>
      <c r="J47" s="6"/>
      <c r="K47" s="86" t="s">
        <v>22</v>
      </c>
      <c r="L47" s="86"/>
      <c r="M47" s="77">
        <f t="shared" si="56"/>
        <v>0.30876377389104326</v>
      </c>
      <c r="T47" t="s">
        <v>76</v>
      </c>
      <c r="V47" s="34"/>
      <c r="W47" s="34">
        <f t="shared" ref="W47:AD47" si="59">W44/W10</f>
        <v>0.19569708972751118</v>
      </c>
      <c r="X47" s="34">
        <f t="shared" si="59"/>
        <v>0.23967253532647331</v>
      </c>
      <c r="Y47" s="34">
        <f t="shared" si="59"/>
        <v>0.25379991135304047</v>
      </c>
      <c r="Z47" s="34">
        <f t="shared" si="59"/>
        <v>0.3098731427304306</v>
      </c>
      <c r="AA47" s="34">
        <f t="shared" si="59"/>
        <v>0.24671491580285501</v>
      </c>
      <c r="AB47" s="34">
        <f t="shared" si="59"/>
        <v>0.2731665171312963</v>
      </c>
      <c r="AC47" s="34">
        <f t="shared" si="59"/>
        <v>0.25887789889410917</v>
      </c>
      <c r="AD47" s="34">
        <f t="shared" si="59"/>
        <v>0.25983354655245006</v>
      </c>
      <c r="AE47" s="34">
        <f>AE44/AE10</f>
        <v>0.27498895323788325</v>
      </c>
      <c r="AF47" s="34">
        <f>AF44/AF10</f>
        <v>0.29672183847587286</v>
      </c>
      <c r="AG47" s="77">
        <f t="shared" ref="AG47:AL47" si="60">AG44/AG10</f>
        <v>0.29018042196880572</v>
      </c>
      <c r="AH47" s="77">
        <f t="shared" si="60"/>
        <v>0.29018042196880572</v>
      </c>
      <c r="AI47" s="77">
        <f t="shared" si="60"/>
        <v>0.29018042196880572</v>
      </c>
      <c r="AJ47" s="77">
        <f t="shared" si="60"/>
        <v>0.29018042196880567</v>
      </c>
      <c r="AK47" s="77">
        <f t="shared" si="60"/>
        <v>0.29018042196880572</v>
      </c>
      <c r="AL47" s="77">
        <f t="shared" si="60"/>
        <v>0.28876504580077916</v>
      </c>
    </row>
    <row r="48" spans="1:38" x14ac:dyDescent="0.25">
      <c r="A48" s="5"/>
      <c r="C48" s="7"/>
      <c r="D48" s="7"/>
      <c r="E48" s="6"/>
      <c r="F48" s="6"/>
      <c r="G48" s="6"/>
      <c r="H48" s="6"/>
      <c r="I48" s="6"/>
      <c r="J48" s="6"/>
      <c r="K48" s="86" t="s">
        <v>23</v>
      </c>
      <c r="L48" s="86"/>
      <c r="M48" s="77">
        <f t="shared" si="56"/>
        <v>0.24153628601649507</v>
      </c>
      <c r="T48" s="69" t="s">
        <v>77</v>
      </c>
      <c r="V48" s="34">
        <f t="shared" ref="V48:AE48" si="61">V44/V37</f>
        <v>0.12142764365579739</v>
      </c>
      <c r="W48" s="34">
        <f t="shared" si="61"/>
        <v>8.2831112608110921E-2</v>
      </c>
      <c r="X48" s="34">
        <f t="shared" si="61"/>
        <v>0.10682481380493297</v>
      </c>
      <c r="Y48" s="34">
        <f t="shared" si="61"/>
        <v>0.11790566496164023</v>
      </c>
      <c r="Z48" s="34">
        <f t="shared" si="61"/>
        <v>0.1739810326413487</v>
      </c>
      <c r="AA48" s="34">
        <f t="shared" si="61"/>
        <v>0.16674326705443304</v>
      </c>
      <c r="AB48" s="34">
        <f t="shared" si="61"/>
        <v>0.1879507084845502</v>
      </c>
      <c r="AC48" s="34">
        <f t="shared" si="61"/>
        <v>0.18977766970519555</v>
      </c>
      <c r="AD48" s="34">
        <f t="shared" si="61"/>
        <v>0.18807858094799898</v>
      </c>
      <c r="AE48" s="34">
        <f t="shared" si="61"/>
        <v>0.19873862426412844</v>
      </c>
      <c r="AF48" s="34">
        <f>AF44/AF37</f>
        <v>0.23305536122478113</v>
      </c>
      <c r="AG48" s="77">
        <f>AG44/AG37</f>
        <v>0.23305536122478107</v>
      </c>
      <c r="AH48" s="77">
        <f t="shared" ref="AH48:AL48" si="62">AH44/AH37</f>
        <v>0.23305536122478107</v>
      </c>
      <c r="AI48" s="77">
        <f t="shared" si="62"/>
        <v>0.23305536122478107</v>
      </c>
      <c r="AJ48" s="77">
        <f t="shared" si="62"/>
        <v>0.23305536122478107</v>
      </c>
      <c r="AK48" s="77">
        <f t="shared" si="62"/>
        <v>0.23305536122478107</v>
      </c>
      <c r="AL48" s="77">
        <f t="shared" si="62"/>
        <v>0.23305536122478104</v>
      </c>
    </row>
    <row r="49" spans="1:38" x14ac:dyDescent="0.25">
      <c r="A49" s="5"/>
      <c r="C49" s="6"/>
      <c r="D49" s="6"/>
      <c r="E49" s="6"/>
      <c r="F49" s="6"/>
      <c r="G49" s="6"/>
      <c r="H49" s="6"/>
      <c r="I49" s="6"/>
      <c r="J49" s="6"/>
      <c r="K49" s="86" t="s">
        <v>24</v>
      </c>
      <c r="L49" s="86"/>
      <c r="M49" s="77">
        <f t="shared" si="56"/>
        <v>0.16727566564005861</v>
      </c>
      <c r="T49" s="69" t="s">
        <v>78</v>
      </c>
      <c r="U49" s="16"/>
      <c r="W49" s="24">
        <f t="shared" ref="W49:AL49" si="63">W37/W10</f>
        <v>2.3626036590066071</v>
      </c>
      <c r="X49" s="24">
        <f t="shared" si="63"/>
        <v>2.2436035859994701</v>
      </c>
      <c r="Y49" s="24">
        <f t="shared" si="63"/>
        <v>2.1525675754054094</v>
      </c>
      <c r="Z49" s="24">
        <f t="shared" si="63"/>
        <v>1.781074281638592</v>
      </c>
      <c r="AA49" s="24">
        <f t="shared" si="63"/>
        <v>1.4796094628655403</v>
      </c>
      <c r="AB49" s="24">
        <f t="shared" si="63"/>
        <v>1.4533944529065235</v>
      </c>
      <c r="AC49" s="24">
        <f t="shared" si="63"/>
        <v>1.3641114852777743</v>
      </c>
      <c r="AD49" s="24">
        <f t="shared" si="63"/>
        <v>1.3815158815149202</v>
      </c>
      <c r="AE49" s="24">
        <f t="shared" si="63"/>
        <v>1.383671413929163</v>
      </c>
      <c r="AF49" s="24">
        <f>AF37/AF10</f>
        <v>1.2731817749933059</v>
      </c>
      <c r="AG49" s="75">
        <f t="shared" si="63"/>
        <v>1.2451136950628985</v>
      </c>
      <c r="AH49" s="75">
        <f t="shared" si="63"/>
        <v>1.2451136950628985</v>
      </c>
      <c r="AI49" s="75">
        <f t="shared" si="63"/>
        <v>1.2451136950628985</v>
      </c>
      <c r="AJ49" s="75">
        <f t="shared" si="63"/>
        <v>1.2451136950628983</v>
      </c>
      <c r="AK49" s="75">
        <f t="shared" si="63"/>
        <v>1.2451136950628987</v>
      </c>
      <c r="AL49" s="75">
        <f t="shared" si="63"/>
        <v>1.2390405622218934</v>
      </c>
    </row>
    <row r="50" spans="1:38" x14ac:dyDescent="0.25">
      <c r="A50" s="5"/>
      <c r="C50" s="7"/>
      <c r="D50" s="7"/>
      <c r="E50" s="7"/>
      <c r="F50" s="6"/>
      <c r="G50" s="55"/>
      <c r="H50" s="7"/>
      <c r="I50" s="7"/>
      <c r="J50" s="7"/>
      <c r="K50" s="86" t="s">
        <v>25</v>
      </c>
      <c r="L50" s="86"/>
      <c r="M50" s="77">
        <f t="shared" si="56"/>
        <v>9.9253784704037035E-2</v>
      </c>
      <c r="T50" t="s">
        <v>79</v>
      </c>
      <c r="V50" s="36"/>
      <c r="W50" s="36">
        <f t="shared" ref="W50:AL50" si="64">W15/W19</f>
        <v>1.4750638100936817</v>
      </c>
      <c r="X50" s="36">
        <f t="shared" si="64"/>
        <v>2.53697172864663</v>
      </c>
      <c r="Y50" s="36">
        <f t="shared" si="64"/>
        <v>2.969161325381469</v>
      </c>
      <c r="Z50" s="36">
        <f t="shared" si="64"/>
        <v>2.7406422268218611</v>
      </c>
      <c r="AA50" s="36">
        <f t="shared" si="64"/>
        <v>2.4245528604873963</v>
      </c>
      <c r="AB50" s="36">
        <f t="shared" si="64"/>
        <v>1.815737970316432</v>
      </c>
      <c r="AC50" s="36">
        <f t="shared" si="64"/>
        <v>1.6332498650680907</v>
      </c>
      <c r="AD50" s="36">
        <f t="shared" si="64"/>
        <v>1.4904114781914395</v>
      </c>
      <c r="AE50" s="36">
        <f t="shared" si="64"/>
        <v>1.181243419389806</v>
      </c>
      <c r="AF50" s="36">
        <f t="shared" si="64"/>
        <v>0.99657262410735969</v>
      </c>
      <c r="AG50" s="79">
        <f t="shared" si="64"/>
        <v>0.92719529365251385</v>
      </c>
      <c r="AH50" s="79">
        <f t="shared" si="64"/>
        <v>0.92719529365251374</v>
      </c>
      <c r="AI50" s="79">
        <f t="shared" si="64"/>
        <v>0.92719529365251385</v>
      </c>
      <c r="AJ50" s="79">
        <f t="shared" si="64"/>
        <v>0.92719529365251419</v>
      </c>
      <c r="AK50" s="79">
        <f t="shared" si="64"/>
        <v>0.92719529365251441</v>
      </c>
      <c r="AL50" s="79">
        <f t="shared" si="64"/>
        <v>0.9271952936525143</v>
      </c>
    </row>
    <row r="51" spans="1:38" x14ac:dyDescent="0.25">
      <c r="A51" s="5"/>
      <c r="C51" s="7"/>
      <c r="D51" s="6"/>
      <c r="E51" s="6"/>
      <c r="F51" s="7"/>
      <c r="G51" s="55"/>
      <c r="H51" s="7"/>
      <c r="I51" s="56"/>
      <c r="J51" s="7"/>
      <c r="K51" s="86" t="s">
        <v>19</v>
      </c>
      <c r="L51" s="86"/>
      <c r="M51" s="77">
        <f t="shared" si="56"/>
        <v>3.3087064640421313E-3</v>
      </c>
      <c r="T51" t="s">
        <v>80</v>
      </c>
      <c r="V51" s="34"/>
      <c r="W51" s="34">
        <f t="shared" ref="W51:AD51" si="65">W47-((W38-W40)/W15)</f>
        <v>0.14346307378076176</v>
      </c>
      <c r="X51" s="34">
        <f t="shared" si="65"/>
        <v>0.20824566658015198</v>
      </c>
      <c r="Y51" s="34">
        <f t="shared" si="65"/>
        <v>0.21431288511796412</v>
      </c>
      <c r="Z51" s="34">
        <f t="shared" si="65"/>
        <v>0.25435394344195505</v>
      </c>
      <c r="AA51" s="34">
        <f t="shared" si="65"/>
        <v>0.19909853174780517</v>
      </c>
      <c r="AB51" s="34">
        <f t="shared" si="65"/>
        <v>0.20318799846231195</v>
      </c>
      <c r="AC51" s="34">
        <f t="shared" si="65"/>
        <v>0.20370749135897856</v>
      </c>
      <c r="AD51" s="34">
        <f t="shared" si="65"/>
        <v>0.1900814472034244</v>
      </c>
      <c r="AE51" s="34">
        <f>AE47-((AE38-AE40)/AE15)</f>
        <v>0.19326236513865702</v>
      </c>
      <c r="AF51" s="34">
        <f>AF47-((AF38-AF40)/AF15)</f>
        <v>0.20803121834720475</v>
      </c>
      <c r="AG51" s="77">
        <f t="shared" ref="AG51:AL51" si="66">AG47-((AG38-AG40)/AG15)</f>
        <v>0.20019448625547542</v>
      </c>
      <c r="AH51" s="77">
        <f t="shared" si="66"/>
        <v>0.20019448625547537</v>
      </c>
      <c r="AI51" s="77">
        <f t="shared" si="66"/>
        <v>0.20019448625547537</v>
      </c>
      <c r="AJ51" s="77">
        <f t="shared" si="66"/>
        <v>0.20019448625547537</v>
      </c>
      <c r="AK51" s="77">
        <f t="shared" si="66"/>
        <v>0.20019448625547537</v>
      </c>
      <c r="AL51" s="77">
        <f t="shared" si="66"/>
        <v>0.19921802305063951</v>
      </c>
    </row>
    <row r="52" spans="1:38" x14ac:dyDescent="0.25">
      <c r="A52" s="5"/>
      <c r="C52" s="7"/>
      <c r="D52" s="7"/>
      <c r="E52" s="7"/>
      <c r="F52" s="7"/>
      <c r="G52" s="6"/>
      <c r="H52" s="6"/>
      <c r="I52" s="6"/>
      <c r="J52" s="7"/>
      <c r="K52" s="87" t="s">
        <v>26</v>
      </c>
      <c r="L52" s="87"/>
      <c r="M52" s="77"/>
      <c r="AG52" s="68"/>
      <c r="AH52" s="68"/>
      <c r="AI52" s="68"/>
      <c r="AJ52" s="68"/>
      <c r="AK52" s="68"/>
      <c r="AL52" s="68"/>
    </row>
    <row r="53" spans="1:38" x14ac:dyDescent="0.25">
      <c r="A53" s="5"/>
      <c r="C53" s="7"/>
      <c r="D53" s="6"/>
      <c r="E53" s="6"/>
      <c r="F53" s="6"/>
      <c r="G53" s="6"/>
      <c r="H53" s="6"/>
      <c r="I53" s="6"/>
      <c r="J53" s="6"/>
      <c r="K53" s="86" t="s">
        <v>27</v>
      </c>
      <c r="L53" s="86"/>
      <c r="M53" s="77">
        <f t="shared" si="56"/>
        <v>0.10347703852337693</v>
      </c>
      <c r="T53" t="s">
        <v>81</v>
      </c>
      <c r="V53" s="34"/>
      <c r="W53" s="34">
        <f t="shared" ref="W53:AE53" si="67">W47+(W50*W51)</f>
        <v>0.40731427794631259</v>
      </c>
      <c r="X53" s="34">
        <f t="shared" si="67"/>
        <v>0.76798590405349132</v>
      </c>
      <c r="Y53" s="34">
        <f t="shared" si="67"/>
        <v>0.8901294413762213</v>
      </c>
      <c r="Z53" s="34">
        <f t="shared" si="67"/>
        <v>1.006966300686112</v>
      </c>
      <c r="AA53" s="34">
        <f t="shared" si="67"/>
        <v>0.72943983047083671</v>
      </c>
      <c r="AB53" s="34">
        <f t="shared" si="67"/>
        <v>0.64210268105191293</v>
      </c>
      <c r="AC53" s="34">
        <f t="shared" si="67"/>
        <v>0.59158313166952015</v>
      </c>
      <c r="AD53" s="34">
        <f t="shared" si="67"/>
        <v>0.54313311725567393</v>
      </c>
      <c r="AE53" s="34">
        <f t="shared" si="67"/>
        <v>0.50327885027363173</v>
      </c>
      <c r="AF53" s="34">
        <f>AF47+(AF50*AF51)</f>
        <v>0.50404005564039778</v>
      </c>
      <c r="AG53" s="77">
        <f t="shared" ref="AG53:AL53" si="68">AG47+(AG50*AG51)</f>
        <v>0.47579980744006545</v>
      </c>
      <c r="AH53" s="77">
        <f t="shared" si="68"/>
        <v>0.47579980744006534</v>
      </c>
      <c r="AI53" s="77">
        <f t="shared" si="68"/>
        <v>0.47579980744006534</v>
      </c>
      <c r="AJ53" s="77">
        <f t="shared" si="68"/>
        <v>0.47579980744006534</v>
      </c>
      <c r="AK53" s="77">
        <f t="shared" si="68"/>
        <v>0.47579980744006545</v>
      </c>
      <c r="AL53" s="77">
        <f t="shared" si="68"/>
        <v>0.47347905918409022</v>
      </c>
    </row>
    <row r="54" spans="1:38" x14ac:dyDescent="0.25">
      <c r="A54" s="5"/>
      <c r="C54" s="6"/>
      <c r="D54" s="7"/>
      <c r="E54" s="7"/>
      <c r="F54" s="7"/>
      <c r="G54" s="7"/>
      <c r="H54" s="7"/>
      <c r="I54" s="7"/>
      <c r="J54" s="7"/>
      <c r="K54" s="86" t="s">
        <v>28</v>
      </c>
      <c r="L54" s="86"/>
      <c r="M54" s="77">
        <f t="shared" si="56"/>
        <v>7.2069455966173979E-2</v>
      </c>
    </row>
    <row r="55" spans="1:38" x14ac:dyDescent="0.25">
      <c r="A55" s="5"/>
      <c r="C55" s="6"/>
      <c r="D55" s="6"/>
      <c r="E55" s="7"/>
      <c r="F55" s="7"/>
      <c r="G55" s="7"/>
      <c r="H55" s="7"/>
      <c r="I55" s="7"/>
      <c r="J55" s="7"/>
      <c r="K55" s="86" t="s">
        <v>29</v>
      </c>
      <c r="L55" s="86"/>
      <c r="M55" s="77">
        <f t="shared" si="56"/>
        <v>4.5558651854540463E-3</v>
      </c>
    </row>
    <row r="56" spans="1:38" x14ac:dyDescent="0.25">
      <c r="A56" s="5"/>
      <c r="C56" s="7"/>
      <c r="D56" s="7"/>
      <c r="E56" s="7"/>
      <c r="F56" s="7"/>
      <c r="G56" s="7"/>
      <c r="H56" s="7"/>
      <c r="I56" s="7"/>
      <c r="J56" s="7"/>
      <c r="K56" s="86" t="s">
        <v>30</v>
      </c>
      <c r="L56" s="86"/>
      <c r="M56" s="77">
        <f t="shared" si="56"/>
        <v>0.11667071198024899</v>
      </c>
    </row>
    <row r="57" spans="1:38" x14ac:dyDescent="0.25">
      <c r="A57" s="5"/>
      <c r="C57" s="6"/>
      <c r="D57" s="6"/>
      <c r="E57" s="6"/>
      <c r="F57" s="6"/>
      <c r="G57" s="6"/>
      <c r="H57" s="6"/>
      <c r="I57" s="6"/>
      <c r="J57" s="6"/>
      <c r="K57" s="86" t="s">
        <v>31</v>
      </c>
      <c r="L57" s="86"/>
      <c r="M57" s="77">
        <f t="shared" si="56"/>
        <v>5.400382047805876E-2</v>
      </c>
    </row>
    <row r="58" spans="1:38" x14ac:dyDescent="0.25">
      <c r="A58" s="5"/>
      <c r="C58" s="6"/>
      <c r="D58" s="7"/>
      <c r="E58" s="7"/>
      <c r="F58" s="7"/>
      <c r="G58" s="7"/>
      <c r="H58" s="7"/>
      <c r="I58" s="7"/>
      <c r="J58" s="7"/>
      <c r="K58" s="87" t="s">
        <v>32</v>
      </c>
      <c r="L58" s="87"/>
      <c r="M58" s="77"/>
    </row>
    <row r="59" spans="1:38" x14ac:dyDescent="0.25">
      <c r="A59" s="5"/>
      <c r="C59" s="6"/>
      <c r="D59" s="7"/>
      <c r="E59" s="7"/>
      <c r="F59" s="7"/>
      <c r="G59" s="7"/>
      <c r="H59" s="7"/>
      <c r="I59" s="7"/>
      <c r="J59" s="7"/>
      <c r="K59" s="86" t="s">
        <v>33</v>
      </c>
      <c r="L59" s="86"/>
      <c r="M59" s="77">
        <f t="shared" si="56"/>
        <v>0.28478263722249691</v>
      </c>
    </row>
    <row r="60" spans="1:38" x14ac:dyDescent="0.25">
      <c r="A60" s="5"/>
      <c r="C60" s="7"/>
      <c r="D60" s="6"/>
      <c r="E60" s="6"/>
      <c r="F60" s="6"/>
      <c r="G60" s="6"/>
      <c r="H60" s="6"/>
      <c r="I60" s="6"/>
      <c r="J60" s="6"/>
      <c r="K60" s="86" t="s">
        <v>34</v>
      </c>
      <c r="L60" s="86"/>
      <c r="M60" s="77">
        <f t="shared" si="56"/>
        <v>6.1439282402136065E-2</v>
      </c>
    </row>
    <row r="61" spans="1:38" x14ac:dyDescent="0.25">
      <c r="A61" s="5"/>
      <c r="C61" s="6"/>
      <c r="D61" s="6"/>
      <c r="E61" s="6"/>
      <c r="F61" s="6"/>
      <c r="G61" s="6"/>
      <c r="H61" s="6"/>
      <c r="I61" s="6"/>
      <c r="J61" s="6"/>
      <c r="K61" s="86" t="s">
        <v>19</v>
      </c>
      <c r="L61" s="86"/>
      <c r="M61" s="77">
        <f t="shared" si="56"/>
        <v>3.7871187277070714E-2</v>
      </c>
    </row>
    <row r="62" spans="1:38" x14ac:dyDescent="0.25">
      <c r="A62" s="5"/>
      <c r="C62" s="7"/>
      <c r="D62" s="6"/>
      <c r="E62" s="7"/>
      <c r="F62" s="7"/>
      <c r="G62" s="7"/>
      <c r="H62" s="7"/>
      <c r="I62" s="7"/>
      <c r="J62" s="7"/>
      <c r="K62" s="87" t="s">
        <v>35</v>
      </c>
      <c r="L62" s="87"/>
      <c r="M62" s="77"/>
    </row>
    <row r="63" spans="1:38" x14ac:dyDescent="0.25">
      <c r="A63" s="5"/>
      <c r="C63" s="6"/>
      <c r="D63" s="6"/>
      <c r="E63" s="6"/>
      <c r="F63" s="6"/>
      <c r="G63" s="6"/>
      <c r="H63" s="6"/>
      <c r="I63" s="6"/>
      <c r="J63" s="6"/>
      <c r="K63" s="86" t="s">
        <v>36</v>
      </c>
      <c r="L63" s="86"/>
      <c r="M63" s="77"/>
    </row>
    <row r="64" spans="1:38" x14ac:dyDescent="0.25">
      <c r="A64" s="5"/>
      <c r="C64" s="6"/>
      <c r="D64" s="6"/>
      <c r="E64" s="6"/>
      <c r="F64" s="6"/>
      <c r="G64" s="6"/>
      <c r="H64" s="6"/>
      <c r="I64" s="6"/>
      <c r="J64" s="6"/>
      <c r="K64" s="86" t="s">
        <v>37</v>
      </c>
      <c r="L64" s="86"/>
      <c r="M64" s="77"/>
    </row>
    <row r="65" spans="1:13" x14ac:dyDescent="0.25">
      <c r="A65" s="5"/>
      <c r="C65" s="6"/>
      <c r="D65" s="6"/>
      <c r="E65" s="6"/>
      <c r="F65" s="6"/>
      <c r="G65" s="6"/>
      <c r="H65" s="6"/>
      <c r="I65" s="6"/>
      <c r="J65" s="6"/>
      <c r="K65" s="86" t="s">
        <v>38</v>
      </c>
      <c r="L65" s="86"/>
      <c r="M65" s="77">
        <f t="shared" si="56"/>
        <v>0.12294176631989447</v>
      </c>
    </row>
    <row r="66" spans="1:13" x14ac:dyDescent="0.25">
      <c r="A66" s="5"/>
      <c r="C66" s="7"/>
      <c r="D66" s="6"/>
      <c r="E66" s="6"/>
      <c r="F66" s="6"/>
      <c r="G66" s="6"/>
      <c r="H66" s="6"/>
      <c r="I66" s="6"/>
      <c r="J66" s="6"/>
      <c r="K66" s="86" t="s">
        <v>39</v>
      </c>
      <c r="L66" s="86"/>
      <c r="M66" s="77">
        <f t="shared" si="56"/>
        <v>0.5086754345974559</v>
      </c>
    </row>
    <row r="67" spans="1:13" x14ac:dyDescent="0.25">
      <c r="A67" s="5"/>
      <c r="C67" s="7"/>
      <c r="D67" s="7"/>
      <c r="E67" s="7"/>
      <c r="F67" s="7"/>
      <c r="G67" s="7"/>
      <c r="H67" s="7"/>
      <c r="I67" s="7"/>
      <c r="J67" s="7"/>
      <c r="K67" s="86" t="s">
        <v>40</v>
      </c>
      <c r="L67" s="86"/>
      <c r="M67" s="77">
        <f t="shared" si="56"/>
        <v>-0.20340095568190106</v>
      </c>
    </row>
    <row r="68" spans="1:13" x14ac:dyDescent="0.25">
      <c r="A68" s="5"/>
      <c r="C68" s="7"/>
      <c r="D68" s="7"/>
      <c r="E68" s="7"/>
      <c r="F68" s="7"/>
      <c r="G68" s="6"/>
      <c r="H68" s="6"/>
      <c r="I68" s="6"/>
      <c r="J68" s="6"/>
      <c r="K68" s="86" t="s">
        <v>41</v>
      </c>
      <c r="L68" s="86"/>
      <c r="M68" s="77">
        <f t="shared" si="56"/>
        <v>-2.7127554495015874E-2</v>
      </c>
    </row>
    <row r="69" spans="1:13" x14ac:dyDescent="0.25">
      <c r="A69" s="5"/>
      <c r="C69" s="7"/>
      <c r="D69" s="7"/>
      <c r="E69" s="6"/>
      <c r="F69" s="7"/>
      <c r="G69" s="7"/>
      <c r="H69" s="7"/>
      <c r="I69" s="7"/>
      <c r="J69" s="7"/>
      <c r="K69" s="87" t="s">
        <v>42</v>
      </c>
      <c r="L69" s="87"/>
      <c r="M69" s="77"/>
    </row>
    <row r="70" spans="1:13" x14ac:dyDescent="0.25">
      <c r="A70" s="5"/>
      <c r="C70" s="7"/>
      <c r="D70" s="6"/>
      <c r="E70" s="7"/>
      <c r="F70" s="7"/>
      <c r="G70" s="7"/>
      <c r="H70" s="7"/>
      <c r="I70" s="7"/>
      <c r="J70" s="7"/>
      <c r="K70" s="86" t="s">
        <v>43</v>
      </c>
      <c r="L70" s="86"/>
      <c r="M70" s="77">
        <f t="shared" si="56"/>
        <v>0</v>
      </c>
    </row>
    <row r="71" spans="1:13" x14ac:dyDescent="0.25">
      <c r="A71" s="5"/>
      <c r="C71" s="7"/>
      <c r="D71" s="6"/>
      <c r="E71" s="6"/>
      <c r="F71" s="6"/>
      <c r="G71" s="6"/>
      <c r="H71" s="6"/>
      <c r="I71" s="6"/>
      <c r="J71" s="6"/>
      <c r="K71" s="87" t="s">
        <v>44</v>
      </c>
      <c r="L71" s="87"/>
      <c r="M71" s="77"/>
    </row>
    <row r="72" spans="1:13" x14ac:dyDescent="0.25">
      <c r="A72" s="5"/>
      <c r="C72" s="7"/>
      <c r="D72" s="6"/>
      <c r="E72" s="6"/>
      <c r="F72" s="6"/>
      <c r="G72" s="6"/>
      <c r="H72" s="6"/>
      <c r="I72" s="6"/>
      <c r="J72" s="6"/>
      <c r="K72" s="6"/>
      <c r="L72" s="7"/>
    </row>
    <row r="73" spans="1:13" x14ac:dyDescent="0.25">
      <c r="A73" s="5"/>
      <c r="C73" s="6"/>
      <c r="D73" s="6"/>
      <c r="E73" s="6"/>
      <c r="F73" s="6"/>
      <c r="G73" s="6"/>
      <c r="H73" s="6"/>
      <c r="I73" s="6"/>
      <c r="J73" s="6"/>
      <c r="K73" s="6"/>
      <c r="L73" s="7"/>
    </row>
    <row r="74" spans="1:13" x14ac:dyDescent="0.25">
      <c r="A74" s="5"/>
      <c r="C74" s="6"/>
      <c r="D74" s="6"/>
      <c r="E74" s="6"/>
      <c r="F74" s="6"/>
      <c r="G74" s="6"/>
      <c r="H74" s="6"/>
      <c r="I74" s="6"/>
      <c r="J74" s="6"/>
      <c r="K74" s="6"/>
      <c r="L74" s="7"/>
    </row>
    <row r="75" spans="1:13" x14ac:dyDescent="0.25">
      <c r="A75" s="5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3" x14ac:dyDescent="0.25">
      <c r="A76" s="5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3" x14ac:dyDescent="0.25">
      <c r="A77" s="5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3" x14ac:dyDescent="0.25">
      <c r="A78" s="5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3" x14ac:dyDescent="0.25">
      <c r="A79" s="5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3" x14ac:dyDescent="0.25">
      <c r="A80" s="5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x14ac:dyDescent="0.25">
      <c r="A81" s="5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x14ac:dyDescent="0.25">
      <c r="A82" s="5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x14ac:dyDescent="0.25">
      <c r="A83" s="5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x14ac:dyDescent="0.25">
      <c r="A84" s="5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x14ac:dyDescent="0.25">
      <c r="A85" s="5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x14ac:dyDescent="0.25">
      <c r="A86" s="5"/>
      <c r="C86" s="7"/>
      <c r="D86" s="7"/>
      <c r="E86" s="7"/>
      <c r="F86" s="6"/>
      <c r="G86" s="6"/>
      <c r="H86" s="6"/>
      <c r="I86" s="6"/>
      <c r="J86" s="6"/>
      <c r="K86" s="7"/>
      <c r="L86" s="7"/>
    </row>
    <row r="87" spans="1:12" x14ac:dyDescent="0.25">
      <c r="A87" s="5"/>
      <c r="C87" s="7"/>
      <c r="D87" s="7"/>
      <c r="E87" s="7"/>
      <c r="F87" s="6"/>
      <c r="G87" s="6"/>
      <c r="H87" s="6"/>
      <c r="I87" s="6"/>
      <c r="J87" s="6"/>
      <c r="K87" s="6"/>
      <c r="L87" s="7"/>
    </row>
    <row r="88" spans="1:12" x14ac:dyDescent="0.25">
      <c r="A88" s="5"/>
      <c r="C88" s="6"/>
      <c r="D88" s="6"/>
      <c r="E88" s="6"/>
      <c r="F88" s="6"/>
      <c r="G88" s="6"/>
      <c r="H88" s="6"/>
      <c r="I88" s="6"/>
      <c r="J88" s="6"/>
      <c r="K88" s="6"/>
      <c r="L88" s="7"/>
    </row>
    <row r="89" spans="1:12" x14ac:dyDescent="0.25">
      <c r="A89" s="5"/>
      <c r="C89" s="6"/>
      <c r="D89" s="6"/>
      <c r="E89" s="6"/>
      <c r="F89" s="6"/>
      <c r="G89" s="6"/>
      <c r="H89" s="6"/>
      <c r="I89" s="6"/>
      <c r="J89" s="6"/>
      <c r="K89" s="6"/>
      <c r="L89" s="7"/>
    </row>
    <row r="90" spans="1:12" x14ac:dyDescent="0.25">
      <c r="A90" s="5"/>
      <c r="C90" s="6"/>
      <c r="D90" s="6"/>
      <c r="E90" s="7"/>
      <c r="F90" s="7"/>
      <c r="G90" s="7"/>
      <c r="H90" s="7"/>
      <c r="I90" s="7"/>
      <c r="J90" s="7"/>
      <c r="K90" s="7"/>
      <c r="L90" s="6"/>
    </row>
    <row r="91" spans="1:12" x14ac:dyDescent="0.25">
      <c r="A91" s="5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A92" s="5"/>
      <c r="C92" s="7"/>
      <c r="D92" s="7"/>
      <c r="E92" s="6"/>
      <c r="F92" s="6"/>
      <c r="G92" s="6"/>
      <c r="H92" s="6"/>
      <c r="I92" s="6"/>
      <c r="J92" s="6"/>
      <c r="K92" s="6"/>
      <c r="L92" s="7"/>
    </row>
    <row r="93" spans="1:12" x14ac:dyDescent="0.25">
      <c r="A93" s="5"/>
      <c r="C93" s="8"/>
      <c r="D93" s="9"/>
      <c r="E93" s="8"/>
      <c r="F93" s="8"/>
      <c r="G93" s="8"/>
      <c r="H93" s="8"/>
      <c r="I93" s="8"/>
      <c r="J93" s="8"/>
      <c r="K93" s="8"/>
      <c r="L93" s="8"/>
    </row>
    <row r="94" spans="1:12" x14ac:dyDescent="0.25">
      <c r="A94" s="5"/>
      <c r="C94" s="9"/>
      <c r="D94" s="10"/>
      <c r="E94" s="9"/>
      <c r="F94" s="9"/>
      <c r="G94" s="9"/>
      <c r="H94" s="9"/>
      <c r="I94" s="10"/>
      <c r="J94" s="9"/>
      <c r="K94" s="9"/>
      <c r="L94" s="7"/>
    </row>
    <row r="95" spans="1:12" x14ac:dyDescent="0.25">
      <c r="A95" s="5"/>
      <c r="C95" s="9"/>
      <c r="D95" s="9"/>
      <c r="E95" s="9"/>
      <c r="F95" s="9"/>
      <c r="G95" s="9"/>
      <c r="H95" s="9"/>
      <c r="I95" s="9"/>
      <c r="J95" s="9"/>
      <c r="K95" s="9"/>
      <c r="L95" s="7"/>
    </row>
    <row r="96" spans="1:12" x14ac:dyDescent="0.25">
      <c r="A96" s="5"/>
      <c r="C96" s="7"/>
      <c r="D96" s="7"/>
      <c r="E96" s="7"/>
      <c r="F96" s="7"/>
      <c r="G96" s="7"/>
      <c r="H96" s="7"/>
      <c r="I96" s="7"/>
      <c r="J96" s="7"/>
      <c r="K96" s="7"/>
      <c r="L96" s="8"/>
    </row>
    <row r="97" spans="1:12" x14ac:dyDescent="0.25">
      <c r="A97" s="5"/>
      <c r="C97" s="9"/>
      <c r="D97" s="9"/>
      <c r="E97" s="9"/>
      <c r="F97" s="9"/>
      <c r="G97" s="9"/>
      <c r="H97" s="9"/>
      <c r="I97" s="9"/>
      <c r="J97" s="9"/>
      <c r="K97" s="9"/>
      <c r="L97" s="7"/>
    </row>
    <row r="98" spans="1:12" x14ac:dyDescent="0.25">
      <c r="A98" s="5"/>
      <c r="C98" s="9"/>
      <c r="D98" s="9"/>
      <c r="E98" s="9"/>
      <c r="F98" s="9"/>
      <c r="G98" s="9"/>
      <c r="H98" s="10"/>
      <c r="I98" s="9"/>
      <c r="J98" s="9"/>
      <c r="K98" s="9"/>
      <c r="L98" s="7"/>
    </row>
    <row r="99" spans="1:12" x14ac:dyDescent="0.25">
      <c r="A99" s="5"/>
      <c r="C99" s="9"/>
      <c r="D99" s="8"/>
      <c r="E99" s="8"/>
      <c r="F99" s="8"/>
      <c r="G99" s="8"/>
      <c r="H99" s="9"/>
      <c r="I99" s="8"/>
      <c r="J99" s="9"/>
      <c r="K99" s="8"/>
      <c r="L99" s="7"/>
    </row>
    <row r="100" spans="1:12" x14ac:dyDescent="0.25">
      <c r="A100" s="5"/>
      <c r="C100" s="8"/>
      <c r="D100" s="8"/>
      <c r="E100" s="8"/>
      <c r="F100" s="8"/>
      <c r="G100" s="8"/>
      <c r="H100" s="8"/>
      <c r="I100" s="8"/>
      <c r="J100" s="10"/>
      <c r="K100" s="8"/>
      <c r="L100" s="7"/>
    </row>
    <row r="101" spans="1:12" x14ac:dyDescent="0.25">
      <c r="A101" s="5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 x14ac:dyDescent="0.25">
      <c r="A102" s="5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x14ac:dyDescent="0.25">
      <c r="A103" s="5"/>
      <c r="C103" s="6"/>
      <c r="D103" s="6"/>
      <c r="E103" s="7"/>
      <c r="F103" s="7"/>
      <c r="G103" s="7"/>
      <c r="H103" s="7"/>
      <c r="I103" s="7"/>
      <c r="J103" s="7"/>
      <c r="K103" s="7"/>
      <c r="L103" s="6"/>
    </row>
    <row r="104" spans="1:12" x14ac:dyDescent="0.25">
      <c r="A104" s="5"/>
      <c r="C104" s="7"/>
      <c r="D104" s="6"/>
      <c r="E104" s="6"/>
      <c r="F104" s="6"/>
      <c r="G104" s="6"/>
      <c r="H104" s="6"/>
      <c r="I104" s="6"/>
      <c r="J104" s="6"/>
      <c r="K104" s="6"/>
      <c r="L104" s="6"/>
    </row>
    <row r="105" spans="1:12" x14ac:dyDescent="0.25">
      <c r="A105" s="5"/>
      <c r="C105" s="7"/>
      <c r="D105" s="6"/>
      <c r="E105" s="6"/>
      <c r="F105" s="6"/>
      <c r="G105" s="6"/>
      <c r="H105" s="6"/>
      <c r="I105" s="6"/>
      <c r="J105" s="6"/>
      <c r="K105" s="6"/>
      <c r="L105" s="7"/>
    </row>
    <row r="106" spans="1:12" x14ac:dyDescent="0.25">
      <c r="A106" s="5"/>
      <c r="C106" s="6"/>
      <c r="D106" s="7"/>
      <c r="E106" s="7"/>
      <c r="F106" s="7"/>
      <c r="G106" s="7"/>
      <c r="H106" s="7"/>
      <c r="I106" s="7"/>
      <c r="J106" s="7"/>
      <c r="K106" s="7"/>
      <c r="L106" s="7"/>
    </row>
    <row r="107" spans="1:12" x14ac:dyDescent="0.25">
      <c r="A107" s="5"/>
      <c r="C107" s="7"/>
      <c r="D107" s="6"/>
      <c r="E107" s="6"/>
      <c r="F107" s="6"/>
      <c r="G107" s="6"/>
      <c r="H107" s="6"/>
      <c r="I107" s="6"/>
      <c r="J107" s="6"/>
      <c r="K107" s="6"/>
      <c r="L107" s="7"/>
    </row>
    <row r="108" spans="1:12" x14ac:dyDescent="0.25">
      <c r="A108" s="5"/>
      <c r="C108" s="7"/>
      <c r="D108" s="7"/>
      <c r="E108" s="7"/>
      <c r="F108" s="7"/>
      <c r="G108" s="7"/>
      <c r="H108" s="7"/>
      <c r="I108" s="7"/>
      <c r="J108" s="7"/>
      <c r="K108" s="7"/>
      <c r="L108" s="6"/>
    </row>
    <row r="109" spans="1:12" x14ac:dyDescent="0.25">
      <c r="A109" s="5"/>
      <c r="C109" s="7"/>
      <c r="D109" s="7"/>
      <c r="E109" s="7"/>
      <c r="F109" s="7"/>
      <c r="G109" s="7"/>
      <c r="H109" s="7"/>
      <c r="I109" s="7"/>
      <c r="J109" s="7"/>
      <c r="K109" s="7"/>
      <c r="L109" s="8"/>
    </row>
    <row r="110" spans="1:12" x14ac:dyDescent="0.25">
      <c r="A110" s="5"/>
      <c r="C110" s="7"/>
      <c r="D110" s="7"/>
      <c r="E110" s="7"/>
      <c r="F110" s="7"/>
      <c r="G110" s="7"/>
      <c r="H110" s="7"/>
      <c r="I110" s="7"/>
      <c r="J110" s="7"/>
      <c r="K110" s="7"/>
      <c r="L110" s="8"/>
    </row>
    <row r="111" spans="1:12" x14ac:dyDescent="0.25">
      <c r="A111" s="5"/>
      <c r="C111" s="7"/>
      <c r="D111" s="7"/>
      <c r="E111" s="7"/>
      <c r="F111" s="7"/>
      <c r="G111" s="7"/>
      <c r="H111" s="7"/>
      <c r="I111" s="7"/>
      <c r="J111" s="7"/>
      <c r="K111" s="7"/>
      <c r="L111" s="8"/>
    </row>
    <row r="112" spans="1:12" x14ac:dyDescent="0.25">
      <c r="A112" s="5"/>
      <c r="C112" s="7"/>
      <c r="D112" s="7"/>
      <c r="E112" s="7"/>
      <c r="F112" s="7"/>
      <c r="G112" s="7"/>
      <c r="H112" s="7"/>
      <c r="I112" s="7"/>
      <c r="J112" s="7"/>
      <c r="K112" s="7"/>
      <c r="L112" s="8"/>
    </row>
    <row r="114" spans="1:12" x14ac:dyDescent="0.25">
      <c r="A114" s="2"/>
    </row>
    <row r="115" spans="1:12" x14ac:dyDescent="0.25">
      <c r="A115" s="3"/>
      <c r="D115" s="4"/>
      <c r="E115" s="4"/>
      <c r="F115" s="4"/>
      <c r="G115" s="4"/>
      <c r="H115" s="4"/>
      <c r="I115" s="4"/>
      <c r="J115" s="4"/>
      <c r="K115" s="4"/>
      <c r="L115" s="4"/>
    </row>
    <row r="116" spans="1:12" x14ac:dyDescent="0.25">
      <c r="A116" s="3"/>
      <c r="D116" s="4"/>
      <c r="E116" s="4"/>
      <c r="F116" s="4"/>
      <c r="G116" s="4"/>
      <c r="H116" s="4"/>
      <c r="I116" s="4"/>
      <c r="J116" s="4"/>
      <c r="K116" s="4"/>
      <c r="L116" s="4"/>
    </row>
    <row r="117" spans="1:12" x14ac:dyDescent="0.25">
      <c r="A117" s="3"/>
      <c r="D117" s="4"/>
      <c r="E117" s="4"/>
      <c r="F117" s="4"/>
      <c r="G117" s="4"/>
      <c r="H117" s="4"/>
      <c r="I117" s="4"/>
      <c r="J117" s="4"/>
      <c r="K117" s="4"/>
      <c r="L117" s="4"/>
    </row>
    <row r="118" spans="1:12" x14ac:dyDescent="0.25">
      <c r="A118" s="3"/>
      <c r="D118" s="4"/>
      <c r="E118" s="4"/>
      <c r="F118" s="4"/>
      <c r="G118" s="4"/>
      <c r="H118" s="4"/>
      <c r="I118" s="4"/>
      <c r="J118" s="4"/>
      <c r="K118" s="4"/>
      <c r="L118" s="4"/>
    </row>
    <row r="119" spans="1:12" x14ac:dyDescent="0.25">
      <c r="A119" s="3"/>
      <c r="D119" s="4"/>
      <c r="E119" s="4"/>
      <c r="F119" s="4"/>
      <c r="G119" s="4"/>
      <c r="H119" s="4"/>
      <c r="I119" s="4"/>
      <c r="J119" s="4"/>
      <c r="K119" s="4"/>
      <c r="L119" s="4"/>
    </row>
    <row r="120" spans="1:12" x14ac:dyDescent="0.25">
      <c r="A120" s="5"/>
      <c r="D120" s="6"/>
      <c r="E120" s="6"/>
      <c r="F120" s="6"/>
      <c r="G120" s="6"/>
      <c r="H120" s="6"/>
      <c r="I120" s="6"/>
      <c r="J120" s="6"/>
      <c r="K120" s="6"/>
      <c r="L120" s="6"/>
    </row>
    <row r="121" spans="1:12" x14ac:dyDescent="0.25">
      <c r="A121" s="5"/>
      <c r="D121" s="6"/>
      <c r="E121" s="6"/>
      <c r="F121" s="6"/>
      <c r="G121" s="6"/>
      <c r="H121" s="6"/>
      <c r="I121" s="6"/>
      <c r="J121" s="6"/>
      <c r="K121" s="6"/>
      <c r="L121" s="6"/>
    </row>
    <row r="122" spans="1:12" x14ac:dyDescent="0.25">
      <c r="A122" s="5"/>
      <c r="D122" s="6"/>
      <c r="E122" s="6"/>
      <c r="F122" s="6"/>
      <c r="G122" s="6"/>
      <c r="H122" s="6"/>
      <c r="I122" s="6"/>
      <c r="J122" s="6"/>
      <c r="K122" s="6"/>
      <c r="L122" s="6"/>
    </row>
    <row r="123" spans="1:12" x14ac:dyDescent="0.25">
      <c r="A123" s="5"/>
      <c r="D123" s="7"/>
      <c r="E123" s="7"/>
      <c r="F123" s="7"/>
      <c r="G123" s="7"/>
      <c r="H123" s="7"/>
      <c r="I123" s="6"/>
      <c r="J123" s="7"/>
      <c r="K123" s="7"/>
      <c r="L123" s="7"/>
    </row>
    <row r="124" spans="1:12" x14ac:dyDescent="0.25">
      <c r="A124" s="5"/>
      <c r="D124" s="7"/>
      <c r="E124" s="7"/>
      <c r="F124" s="7"/>
      <c r="G124" s="7"/>
      <c r="H124" s="7"/>
      <c r="I124" s="6"/>
      <c r="J124" s="7"/>
      <c r="K124" s="7"/>
      <c r="L124" s="7"/>
    </row>
    <row r="125" spans="1:12" x14ac:dyDescent="0.25">
      <c r="A125" s="5"/>
      <c r="D125" s="7"/>
      <c r="E125" s="7"/>
      <c r="F125" s="7"/>
      <c r="G125" s="7"/>
      <c r="H125" s="6"/>
      <c r="I125" s="7"/>
      <c r="J125" s="7"/>
      <c r="K125" s="7"/>
      <c r="L125" s="7"/>
    </row>
    <row r="126" spans="1:12" x14ac:dyDescent="0.25">
      <c r="A126" s="5"/>
      <c r="D126" s="6"/>
      <c r="E126" s="6"/>
      <c r="F126" s="6"/>
      <c r="G126" s="6"/>
      <c r="H126" s="6"/>
      <c r="I126" s="6"/>
      <c r="J126" s="6"/>
      <c r="K126" s="6"/>
      <c r="L126" s="6"/>
    </row>
    <row r="128" spans="1:12" x14ac:dyDescent="0.25">
      <c r="A128" s="2"/>
    </row>
    <row r="129" spans="1:12" x14ac:dyDescent="0.25">
      <c r="A129" s="3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spans="1:12" x14ac:dyDescent="0.25">
      <c r="A130" s="3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spans="1:12" x14ac:dyDescent="0.25">
      <c r="A131" s="3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spans="1:12" x14ac:dyDescent="0.25">
      <c r="A132" s="3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spans="1:12" x14ac:dyDescent="0.25">
      <c r="A133" s="3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spans="1:12" x14ac:dyDescent="0.25">
      <c r="A134" s="5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1:12" x14ac:dyDescent="0.25">
      <c r="A135" s="5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1:12" x14ac:dyDescent="0.25">
      <c r="A136" s="5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1:12" x14ac:dyDescent="0.25">
      <c r="A137" s="5"/>
      <c r="C137" s="6"/>
      <c r="D137" s="6"/>
      <c r="E137" s="6"/>
      <c r="F137" s="7"/>
      <c r="G137" s="7"/>
      <c r="H137" s="7"/>
      <c r="I137" s="7"/>
      <c r="J137" s="7"/>
      <c r="K137" s="7"/>
      <c r="L137" s="7"/>
    </row>
    <row r="138" spans="1:12" x14ac:dyDescent="0.25">
      <c r="A138" s="5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1:12" x14ac:dyDescent="0.25">
      <c r="A139" s="5"/>
      <c r="C139" s="7"/>
      <c r="D139" s="7"/>
      <c r="E139" s="6"/>
      <c r="F139" s="7"/>
      <c r="G139" s="7"/>
      <c r="H139" s="7"/>
      <c r="I139" s="7"/>
      <c r="J139" s="7"/>
      <c r="K139" s="7"/>
      <c r="L139" s="7"/>
    </row>
    <row r="140" spans="1:12" x14ac:dyDescent="0.25">
      <c r="A140" s="5"/>
      <c r="C140" s="7"/>
      <c r="D140" s="7"/>
      <c r="E140" s="7"/>
      <c r="F140" s="6"/>
      <c r="G140" s="6"/>
      <c r="H140" s="6"/>
      <c r="I140" s="6"/>
      <c r="J140" s="7"/>
      <c r="K140" s="7"/>
      <c r="L140" s="7"/>
    </row>
    <row r="141" spans="1:12" x14ac:dyDescent="0.25">
      <c r="A141" s="5"/>
      <c r="C141" s="6"/>
      <c r="D141" s="6"/>
      <c r="E141" s="7"/>
      <c r="F141" s="7"/>
      <c r="G141" s="7"/>
      <c r="H141" s="7"/>
      <c r="I141" s="7"/>
      <c r="J141" s="7"/>
      <c r="K141" s="7"/>
      <c r="L141" s="7"/>
    </row>
    <row r="142" spans="1:12" x14ac:dyDescent="0.25">
      <c r="A142" s="5"/>
      <c r="C142" s="6"/>
      <c r="D142" s="6"/>
      <c r="E142" s="7"/>
      <c r="F142" s="7"/>
      <c r="G142" s="7"/>
      <c r="H142" s="7"/>
      <c r="I142" s="7"/>
      <c r="J142" s="7"/>
      <c r="K142" s="7"/>
      <c r="L142" s="7"/>
    </row>
    <row r="143" spans="1:12" x14ac:dyDescent="0.25">
      <c r="A143" s="5"/>
      <c r="C143" s="7"/>
      <c r="D143" s="6"/>
      <c r="E143" s="7"/>
      <c r="F143" s="7"/>
      <c r="G143" s="7"/>
      <c r="H143" s="7"/>
      <c r="I143" s="7"/>
      <c r="J143" s="7"/>
      <c r="K143" s="7"/>
      <c r="L143" s="7"/>
    </row>
    <row r="144" spans="1:12" x14ac:dyDescent="0.25">
      <c r="A144" s="5"/>
      <c r="C144" s="7"/>
      <c r="D144" s="6"/>
      <c r="E144" s="6"/>
      <c r="F144" s="6"/>
      <c r="G144" s="6"/>
      <c r="H144" s="6"/>
      <c r="I144" s="6"/>
      <c r="J144" s="6"/>
      <c r="K144" s="6"/>
      <c r="L144" s="6"/>
    </row>
    <row r="145" spans="1:12" x14ac:dyDescent="0.25">
      <c r="A145" s="5"/>
      <c r="C145" s="7"/>
      <c r="D145" s="7"/>
      <c r="E145" s="6"/>
      <c r="F145" s="7"/>
      <c r="G145" s="7"/>
      <c r="H145" s="7"/>
      <c r="I145" s="7"/>
      <c r="J145" s="7"/>
      <c r="K145" s="7"/>
      <c r="L145" s="7"/>
    </row>
    <row r="146" spans="1:12" x14ac:dyDescent="0.25">
      <c r="A146" s="5"/>
      <c r="C146" s="7"/>
      <c r="D146" s="7"/>
      <c r="E146" s="6"/>
      <c r="F146" s="6"/>
      <c r="G146" s="6"/>
      <c r="H146" s="6"/>
      <c r="I146" s="6"/>
      <c r="J146" s="6"/>
      <c r="K146" s="6"/>
      <c r="L146" s="6"/>
    </row>
    <row r="147" spans="1:12" x14ac:dyDescent="0.25">
      <c r="A147" s="5"/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 spans="1:12" x14ac:dyDescent="0.25">
      <c r="A148" s="5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1:12" x14ac:dyDescent="0.25">
      <c r="A149" s="5"/>
      <c r="C149" s="7"/>
      <c r="D149" s="7"/>
      <c r="E149" s="6"/>
      <c r="F149" s="6"/>
      <c r="G149" s="6"/>
      <c r="H149" s="6"/>
      <c r="I149" s="6"/>
      <c r="J149" s="6"/>
      <c r="K149" s="6"/>
      <c r="L149" s="6"/>
    </row>
    <row r="150" spans="1:12" x14ac:dyDescent="0.25">
      <c r="A150" s="5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1:12" x14ac:dyDescent="0.25">
      <c r="A151" s="5"/>
      <c r="C151" s="7"/>
      <c r="D151" s="7"/>
      <c r="E151" s="7"/>
      <c r="F151" s="6"/>
      <c r="G151" s="6"/>
      <c r="H151" s="6"/>
      <c r="I151" s="6"/>
      <c r="J151" s="6"/>
      <c r="K151" s="6"/>
      <c r="L151" s="6"/>
    </row>
    <row r="152" spans="1:12" x14ac:dyDescent="0.25">
      <c r="A152" s="5"/>
      <c r="C152" s="7"/>
      <c r="D152" s="7"/>
      <c r="E152" s="6"/>
      <c r="F152" s="6"/>
      <c r="G152" s="6"/>
      <c r="H152" s="6"/>
      <c r="I152" s="6"/>
      <c r="J152" s="6"/>
      <c r="K152" s="6"/>
      <c r="L152" s="6"/>
    </row>
    <row r="153" spans="1:12" x14ac:dyDescent="0.25">
      <c r="A153" s="5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 spans="1:12" x14ac:dyDescent="0.25">
      <c r="A154" s="5"/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 spans="1:12" x14ac:dyDescent="0.25">
      <c r="A155" s="5"/>
      <c r="C155" s="6"/>
      <c r="D155" s="6"/>
      <c r="E155" s="7"/>
      <c r="F155" s="7"/>
      <c r="G155" s="7"/>
      <c r="H155" s="7"/>
      <c r="I155" s="7"/>
      <c r="J155" s="7"/>
      <c r="K155" s="7"/>
      <c r="L155" s="7"/>
    </row>
    <row r="156" spans="1:12" x14ac:dyDescent="0.25">
      <c r="A156" s="5"/>
      <c r="C156" s="6"/>
      <c r="D156" s="6"/>
      <c r="E156" s="7"/>
      <c r="F156" s="7"/>
      <c r="G156" s="7"/>
      <c r="H156" s="7"/>
      <c r="I156" s="7"/>
      <c r="J156" s="7"/>
      <c r="K156" s="7"/>
      <c r="L156" s="7"/>
    </row>
    <row r="157" spans="1:12" x14ac:dyDescent="0.25">
      <c r="A157" s="5"/>
      <c r="C157" s="7"/>
      <c r="D157" s="7"/>
      <c r="E157" s="6"/>
      <c r="F157" s="6"/>
      <c r="G157" s="6"/>
      <c r="H157" s="6"/>
      <c r="I157" s="6"/>
      <c r="J157" s="6"/>
      <c r="K157" s="6"/>
      <c r="L157" s="6"/>
    </row>
    <row r="158" spans="1:12" x14ac:dyDescent="0.25">
      <c r="A158" s="5"/>
      <c r="C158" s="6"/>
      <c r="D158" s="6"/>
      <c r="E158" s="6"/>
      <c r="F158" s="6"/>
      <c r="G158" s="7"/>
      <c r="H158" s="7"/>
      <c r="I158" s="7"/>
      <c r="J158" s="7"/>
      <c r="K158" s="7"/>
      <c r="L158" s="7"/>
    </row>
    <row r="159" spans="1:12" x14ac:dyDescent="0.25">
      <c r="A159" s="5"/>
      <c r="C159" s="7"/>
      <c r="D159" s="7"/>
      <c r="E159" s="7"/>
      <c r="F159" s="7"/>
      <c r="G159" s="6"/>
      <c r="H159" s="6"/>
      <c r="I159" s="6"/>
      <c r="J159" s="7"/>
      <c r="K159" s="7"/>
      <c r="L159" s="7"/>
    </row>
    <row r="160" spans="1:12" x14ac:dyDescent="0.25">
      <c r="A160" s="5"/>
      <c r="C160" s="7"/>
      <c r="D160" s="6"/>
      <c r="E160" s="7"/>
      <c r="F160" s="7"/>
      <c r="G160" s="6"/>
      <c r="H160" s="7"/>
      <c r="I160" s="7"/>
      <c r="J160" s="7"/>
      <c r="K160" s="7"/>
      <c r="L160" s="7"/>
    </row>
    <row r="161" spans="1:12" x14ac:dyDescent="0.25">
      <c r="A161" s="5"/>
      <c r="C161" s="7"/>
      <c r="D161" s="6"/>
      <c r="E161" s="6"/>
      <c r="F161" s="6"/>
      <c r="G161" s="6"/>
      <c r="H161" s="6"/>
      <c r="I161" s="6"/>
      <c r="J161" s="6"/>
      <c r="K161" s="6"/>
      <c r="L161" s="6"/>
    </row>
    <row r="162" spans="1:12" x14ac:dyDescent="0.25">
      <c r="A162" s="5"/>
      <c r="C162" s="6"/>
      <c r="D162" s="6"/>
      <c r="E162" s="6"/>
      <c r="F162" s="7"/>
      <c r="G162" s="6"/>
      <c r="H162" s="6"/>
      <c r="I162" s="7"/>
      <c r="J162" s="6"/>
      <c r="K162" s="7"/>
      <c r="L162" s="6"/>
    </row>
    <row r="163" spans="1:12" x14ac:dyDescent="0.25">
      <c r="A163" s="5"/>
      <c r="C163" s="6"/>
      <c r="D163" s="6"/>
      <c r="E163" s="7"/>
      <c r="F163" s="7"/>
      <c r="G163" s="7"/>
      <c r="H163" s="7"/>
      <c r="I163" s="7"/>
      <c r="J163" s="7"/>
      <c r="K163" s="7"/>
      <c r="L163" s="7"/>
    </row>
    <row r="164" spans="1:12" x14ac:dyDescent="0.25">
      <c r="A164" s="5"/>
      <c r="C164" s="7"/>
      <c r="D164" s="7"/>
      <c r="E164" s="7"/>
      <c r="F164" s="7"/>
      <c r="G164" s="7"/>
      <c r="H164" s="6"/>
      <c r="I164" s="6"/>
      <c r="J164" s="6"/>
      <c r="K164" s="6"/>
      <c r="L164" s="6"/>
    </row>
    <row r="165" spans="1:12" x14ac:dyDescent="0.25">
      <c r="A165" s="5"/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pans="1:12" x14ac:dyDescent="0.25">
      <c r="A166" s="5"/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 spans="1:12" x14ac:dyDescent="0.25">
      <c r="A167" s="5"/>
      <c r="C167" s="6"/>
      <c r="D167" s="6"/>
      <c r="E167" s="6"/>
      <c r="F167" s="6"/>
      <c r="G167" s="6"/>
      <c r="H167" s="6"/>
      <c r="I167" s="6"/>
      <c r="J167" s="7"/>
      <c r="K167" s="7"/>
      <c r="L167" s="7"/>
    </row>
    <row r="168" spans="1:12" x14ac:dyDescent="0.25">
      <c r="A168" s="5"/>
      <c r="C168" s="7"/>
      <c r="D168" s="7"/>
      <c r="E168" s="7"/>
      <c r="F168" s="7"/>
      <c r="G168" s="7"/>
      <c r="H168" s="7"/>
      <c r="I168" s="7"/>
      <c r="J168" s="7"/>
      <c r="K168" s="7"/>
      <c r="L168" s="6"/>
    </row>
    <row r="169" spans="1:12" x14ac:dyDescent="0.25">
      <c r="A169" s="5"/>
      <c r="C169" s="6"/>
      <c r="D169" s="6"/>
      <c r="E169" s="6"/>
      <c r="F169" s="7"/>
      <c r="G169" s="6"/>
      <c r="H169" s="6"/>
      <c r="I169" s="6"/>
      <c r="J169" s="6"/>
      <c r="K169" s="6"/>
      <c r="L169" s="6"/>
    </row>
    <row r="170" spans="1:12" x14ac:dyDescent="0.25">
      <c r="A170" s="5"/>
      <c r="C170" s="7"/>
      <c r="D170" s="7"/>
      <c r="E170" s="7"/>
      <c r="F170" s="7"/>
      <c r="G170" s="6"/>
      <c r="H170" s="7"/>
      <c r="I170" s="7"/>
      <c r="J170" s="7"/>
      <c r="K170" s="7"/>
      <c r="L170" s="7"/>
    </row>
    <row r="171" spans="1:12" x14ac:dyDescent="0.25">
      <c r="A171" s="5"/>
      <c r="C171" s="7"/>
      <c r="D171" s="7"/>
      <c r="E171" s="6"/>
      <c r="F171" s="7"/>
      <c r="G171" s="7"/>
      <c r="H171" s="7"/>
      <c r="I171" s="7"/>
      <c r="J171" s="7"/>
      <c r="K171" s="7"/>
      <c r="L171" s="7"/>
    </row>
    <row r="172" spans="1:12" x14ac:dyDescent="0.25">
      <c r="A172" s="5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1:12" x14ac:dyDescent="0.25">
      <c r="A173" s="5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1:12" x14ac:dyDescent="0.25">
      <c r="A174" s="5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1:12" x14ac:dyDescent="0.25">
      <c r="A175" s="5"/>
      <c r="C175" s="7"/>
      <c r="D175" s="7"/>
      <c r="E175" s="7"/>
      <c r="F175" s="7"/>
      <c r="G175" s="7"/>
      <c r="H175" s="7"/>
      <c r="I175" s="7"/>
      <c r="J175" s="7"/>
      <c r="K175" s="6"/>
      <c r="L175" s="6"/>
    </row>
    <row r="176" spans="1:12" x14ac:dyDescent="0.25">
      <c r="A176" s="5"/>
      <c r="C176" s="6"/>
      <c r="D176" s="6"/>
      <c r="E176" s="6"/>
      <c r="F176" s="7"/>
      <c r="G176" s="7"/>
      <c r="H176" s="7"/>
      <c r="I176" s="7"/>
      <c r="J176" s="7"/>
      <c r="K176" s="7"/>
      <c r="L176" s="7"/>
    </row>
    <row r="177" spans="1:12" x14ac:dyDescent="0.25">
      <c r="A177" s="5"/>
      <c r="C177" s="6"/>
      <c r="D177" s="7"/>
      <c r="E177" s="7"/>
      <c r="F177" s="7"/>
      <c r="G177" s="7"/>
      <c r="H177" s="7"/>
      <c r="I177" s="7"/>
      <c r="J177" s="7"/>
      <c r="K177" s="7"/>
      <c r="L177" s="7"/>
    </row>
    <row r="178" spans="1:12" x14ac:dyDescent="0.25">
      <c r="A178" s="5"/>
      <c r="C178" s="7"/>
      <c r="D178" s="6"/>
      <c r="E178" s="7"/>
      <c r="F178" s="7"/>
      <c r="G178" s="7"/>
      <c r="H178" s="7"/>
      <c r="I178" s="7"/>
      <c r="J178" s="7"/>
      <c r="K178" s="7"/>
      <c r="L178" s="7"/>
    </row>
    <row r="179" spans="1:12" x14ac:dyDescent="0.25">
      <c r="A179" s="5"/>
      <c r="C179" s="7"/>
      <c r="D179" s="6"/>
      <c r="E179" s="7"/>
      <c r="F179" s="7"/>
      <c r="G179" s="7"/>
      <c r="H179" s="7"/>
      <c r="I179" s="7"/>
      <c r="J179" s="7"/>
      <c r="K179" s="7"/>
      <c r="L179" s="7"/>
    </row>
    <row r="180" spans="1:12" x14ac:dyDescent="0.25">
      <c r="A180" s="5"/>
      <c r="C180" s="6"/>
      <c r="D180" s="6"/>
      <c r="E180" s="6"/>
      <c r="F180" s="6"/>
      <c r="G180" s="6"/>
      <c r="H180" s="6"/>
      <c r="I180" s="6"/>
      <c r="J180" s="6"/>
      <c r="K180" s="6"/>
      <c r="L180" s="6"/>
    </row>
    <row r="181" spans="1:12" x14ac:dyDescent="0.25">
      <c r="A181" s="5"/>
      <c r="C181" s="7"/>
      <c r="D181" s="6"/>
      <c r="E181" s="6"/>
      <c r="F181" s="6"/>
      <c r="G181" s="6"/>
      <c r="H181" s="6"/>
      <c r="I181" s="6"/>
      <c r="J181" s="6"/>
      <c r="K181" s="6"/>
      <c r="L181" s="6"/>
    </row>
    <row r="182" spans="1:12" x14ac:dyDescent="0.25">
      <c r="A182" s="5"/>
      <c r="C182" s="7"/>
      <c r="D182" s="7"/>
      <c r="E182" s="7"/>
      <c r="F182" s="7"/>
      <c r="G182" s="7"/>
      <c r="H182" s="7"/>
      <c r="I182" s="6"/>
      <c r="J182" s="6"/>
      <c r="K182" s="6"/>
      <c r="L182" s="7"/>
    </row>
    <row r="183" spans="1:12" x14ac:dyDescent="0.25">
      <c r="A183" s="5"/>
      <c r="C183" s="7"/>
      <c r="D183" s="7"/>
      <c r="E183" s="7"/>
      <c r="F183" s="7"/>
      <c r="G183" s="7"/>
      <c r="H183" s="7"/>
      <c r="I183" s="6"/>
      <c r="J183" s="6"/>
      <c r="K183" s="7"/>
      <c r="L183" s="7"/>
    </row>
    <row r="184" spans="1:12" x14ac:dyDescent="0.25">
      <c r="A184" s="5"/>
      <c r="C184" s="6"/>
      <c r="D184" s="6"/>
      <c r="E184" s="6"/>
      <c r="F184" s="6"/>
      <c r="G184" s="6"/>
      <c r="H184" s="6"/>
      <c r="I184" s="6"/>
      <c r="J184" s="6"/>
      <c r="K184" s="6"/>
      <c r="L184" s="7"/>
    </row>
    <row r="185" spans="1:12" x14ac:dyDescent="0.25">
      <c r="A185" s="5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1:12" x14ac:dyDescent="0.25">
      <c r="A186" s="5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pans="1:12" x14ac:dyDescent="0.25">
      <c r="A187" s="5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 spans="1:12" x14ac:dyDescent="0.25">
      <c r="A188" s="5"/>
      <c r="C188" s="6"/>
      <c r="D188" s="6"/>
      <c r="E188" s="6"/>
      <c r="F188" s="6"/>
      <c r="G188" s="6"/>
      <c r="H188" s="6"/>
      <c r="I188" s="6"/>
      <c r="J188" s="6"/>
      <c r="K188" s="6"/>
      <c r="L188" s="6"/>
    </row>
    <row r="189" spans="1:12" x14ac:dyDescent="0.25">
      <c r="A189" s="5"/>
      <c r="C189" s="7"/>
      <c r="D189" s="7"/>
      <c r="E189" s="7"/>
      <c r="F189" s="7"/>
      <c r="G189" s="7"/>
      <c r="H189" s="7"/>
      <c r="I189" s="7"/>
      <c r="J189" s="7"/>
      <c r="K189" s="7"/>
      <c r="L189" s="6"/>
    </row>
  </sheetData>
  <sheetProtection formatCells="0" formatColumns="0" formatRows="0" insertColumns="0" insertRows="0" insertHyperlinks="0" deleteColumns="0" deleteRows="0" sort="0" autoFilter="0" pivotTables="0"/>
  <mergeCells count="1">
    <mergeCell ref="K41:M41"/>
  </mergeCells>
  <pageMargins left="0.7" right="0.7" top="0.75" bottom="0.75" header="0.3" footer="0.3"/>
  <ignoredErrors>
    <ignoredError sqref="N12:O12 P35:S35 N18:S18 P12:Q12 N24:S24 R28:S28 R12:S12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A2F21-EEA5-4D6A-9A33-29CB89702FF4}">
  <dimension ref="A2:AD60"/>
  <sheetViews>
    <sheetView topLeftCell="A23" zoomScale="80" zoomScaleNormal="80" workbookViewId="0">
      <selection activeCell="V5" sqref="V5:AC13"/>
    </sheetView>
  </sheetViews>
  <sheetFormatPr defaultColWidth="8.77734375" defaultRowHeight="13.2" x14ac:dyDescent="0.25"/>
  <cols>
    <col min="1" max="1" width="53.6640625" bestFit="1" customWidth="1"/>
    <col min="3" max="9" width="13.33203125" bestFit="1" customWidth="1"/>
    <col min="10" max="10" width="12.5546875" customWidth="1"/>
    <col min="11" max="11" width="13.33203125" customWidth="1"/>
    <col min="12" max="12" width="20.21875" customWidth="1"/>
    <col min="13" max="13" width="15.77734375" style="41" customWidth="1"/>
    <col min="14" max="14" width="15.33203125" customWidth="1"/>
    <col min="15" max="15" width="17.44140625" customWidth="1"/>
    <col min="16" max="16" width="19" customWidth="1"/>
    <col min="17" max="17" width="16.109375" customWidth="1"/>
    <col min="18" max="18" width="15.109375" customWidth="1"/>
    <col min="19" max="19" width="14.77734375" customWidth="1"/>
    <col min="20" max="22" width="12" customWidth="1"/>
    <col min="23" max="23" width="22.109375" customWidth="1"/>
    <col min="24" max="183" width="12" customWidth="1"/>
  </cols>
  <sheetData>
    <row r="2" spans="1:30" x14ac:dyDescent="0.25">
      <c r="N2" s="58"/>
    </row>
    <row r="3" spans="1:30" x14ac:dyDescent="0.25">
      <c r="H3" s="84"/>
      <c r="I3" s="84"/>
      <c r="J3" s="84"/>
      <c r="K3" s="84"/>
      <c r="L3" s="84"/>
      <c r="M3" s="84"/>
      <c r="N3" s="84"/>
      <c r="O3" s="65"/>
    </row>
    <row r="4" spans="1:30" ht="21" x14ac:dyDescent="0.4">
      <c r="A4" s="1" t="s">
        <v>0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30" x14ac:dyDescent="0.25">
      <c r="A5" s="51" t="s">
        <v>45</v>
      </c>
      <c r="C5" s="43" t="s">
        <v>11</v>
      </c>
      <c r="D5" s="43" t="s">
        <v>10</v>
      </c>
      <c r="E5" s="43" t="s">
        <v>9</v>
      </c>
      <c r="F5" s="43" t="s">
        <v>8</v>
      </c>
      <c r="G5" s="43" t="s">
        <v>7</v>
      </c>
      <c r="H5" s="43" t="s">
        <v>6</v>
      </c>
      <c r="I5" s="43" t="s">
        <v>5</v>
      </c>
      <c r="J5" s="43" t="s">
        <v>4</v>
      </c>
      <c r="K5" s="43" t="s">
        <v>3</v>
      </c>
      <c r="L5" s="43" t="s">
        <v>2</v>
      </c>
      <c r="M5" s="52">
        <v>45657</v>
      </c>
      <c r="N5" s="52">
        <v>46022</v>
      </c>
      <c r="O5" s="52">
        <v>46387</v>
      </c>
      <c r="P5" s="52">
        <v>46752</v>
      </c>
      <c r="Q5" s="52">
        <v>47118</v>
      </c>
      <c r="R5" s="52">
        <v>47483</v>
      </c>
      <c r="S5" s="64" t="s">
        <v>91</v>
      </c>
      <c r="AD5" s="58"/>
    </row>
    <row r="6" spans="1:30" x14ac:dyDescent="0.25">
      <c r="A6" s="3" t="s">
        <v>12</v>
      </c>
      <c r="C6" s="4" t="s">
        <v>13</v>
      </c>
      <c r="D6" s="4" t="s">
        <v>13</v>
      </c>
      <c r="E6" s="4" t="s">
        <v>13</v>
      </c>
      <c r="F6" s="4" t="s">
        <v>13</v>
      </c>
      <c r="G6" s="4" t="s">
        <v>13</v>
      </c>
      <c r="H6" s="4" t="s">
        <v>13</v>
      </c>
      <c r="I6" s="4" t="s">
        <v>13</v>
      </c>
      <c r="J6" s="4" t="s">
        <v>13</v>
      </c>
      <c r="K6" s="4" t="s">
        <v>13</v>
      </c>
      <c r="L6" s="4" t="s">
        <v>13</v>
      </c>
      <c r="M6" s="42" t="s">
        <v>13</v>
      </c>
      <c r="N6" s="42" t="s">
        <v>13</v>
      </c>
      <c r="O6" s="42" t="s">
        <v>13</v>
      </c>
      <c r="P6" s="42" t="s">
        <v>13</v>
      </c>
      <c r="Q6" s="42" t="s">
        <v>13</v>
      </c>
      <c r="R6" s="42" t="s">
        <v>13</v>
      </c>
      <c r="W6" s="58"/>
      <c r="X6" s="58"/>
      <c r="Y6" s="58"/>
      <c r="Z6" s="58"/>
      <c r="AA6" s="58"/>
      <c r="AB6" s="58"/>
      <c r="AC6" s="58"/>
    </row>
    <row r="7" spans="1:30" x14ac:dyDescent="0.25">
      <c r="A7" s="3" t="s">
        <v>14</v>
      </c>
      <c r="C7" s="43" t="s">
        <v>15</v>
      </c>
      <c r="D7" s="43" t="s">
        <v>15</v>
      </c>
      <c r="E7" s="43" t="s">
        <v>15</v>
      </c>
      <c r="F7" s="43" t="s">
        <v>15</v>
      </c>
      <c r="G7" s="43" t="s">
        <v>15</v>
      </c>
      <c r="H7" s="43" t="s">
        <v>15</v>
      </c>
      <c r="I7" s="43" t="s">
        <v>15</v>
      </c>
      <c r="J7" s="43" t="s">
        <v>15</v>
      </c>
      <c r="K7" s="43" t="s">
        <v>15</v>
      </c>
      <c r="L7" s="43" t="s">
        <v>15</v>
      </c>
      <c r="M7" s="44" t="s">
        <v>15</v>
      </c>
      <c r="N7" s="44" t="s">
        <v>15</v>
      </c>
      <c r="O7" s="44" t="s">
        <v>15</v>
      </c>
      <c r="P7" s="44" t="s">
        <v>15</v>
      </c>
      <c r="Q7" s="44" t="s">
        <v>15</v>
      </c>
      <c r="R7" s="44" t="s">
        <v>15</v>
      </c>
      <c r="W7" s="9"/>
      <c r="X7" s="10"/>
      <c r="Y7" s="10"/>
      <c r="Z7" s="10"/>
      <c r="AA7" s="10"/>
      <c r="AB7" s="10"/>
      <c r="AC7" s="10"/>
    </row>
    <row r="8" spans="1:30" x14ac:dyDescent="0.25">
      <c r="A8" s="25" t="s">
        <v>46</v>
      </c>
      <c r="B8" s="26"/>
      <c r="C8" s="27">
        <v>7421768</v>
      </c>
      <c r="D8" s="27">
        <v>7386626</v>
      </c>
      <c r="E8" s="27">
        <v>7440181</v>
      </c>
      <c r="F8" s="27">
        <v>7515426</v>
      </c>
      <c r="G8" s="27">
        <v>7791069</v>
      </c>
      <c r="H8" s="27">
        <v>7986252</v>
      </c>
      <c r="I8" s="27">
        <v>8149719</v>
      </c>
      <c r="J8" s="27">
        <v>8971337</v>
      </c>
      <c r="K8" s="27">
        <v>10419294</v>
      </c>
      <c r="L8" s="27">
        <v>11164992</v>
      </c>
      <c r="M8" s="47">
        <v>11202263</v>
      </c>
      <c r="N8" s="47">
        <f>M8*(1+2%)</f>
        <v>11426308.26</v>
      </c>
      <c r="O8" s="47">
        <f t="shared" ref="O8:R8" si="0">N8*(1+2%)</f>
        <v>11654834.4252</v>
      </c>
      <c r="P8" s="47">
        <f t="shared" si="0"/>
        <v>11887931.113704002</v>
      </c>
      <c r="Q8" s="47">
        <f t="shared" si="0"/>
        <v>12125689.735978082</v>
      </c>
      <c r="R8" s="47">
        <f>Q8*(1+2%)</f>
        <v>12368203.530697644</v>
      </c>
      <c r="S8" s="47">
        <f>R8*(1+1%)</f>
        <v>12491885.566004621</v>
      </c>
      <c r="W8" s="58"/>
    </row>
    <row r="9" spans="1:30" x14ac:dyDescent="0.25">
      <c r="A9" s="25" t="s">
        <v>47</v>
      </c>
      <c r="B9" s="26"/>
      <c r="C9" s="27">
        <v>4085602</v>
      </c>
      <c r="D9" s="27">
        <v>4003951</v>
      </c>
      <c r="E9" s="27">
        <v>4282290</v>
      </c>
      <c r="F9" s="27">
        <v>4070907</v>
      </c>
      <c r="G9" s="27">
        <v>4215744</v>
      </c>
      <c r="H9" s="27">
        <v>4363774</v>
      </c>
      <c r="I9" s="27">
        <v>4448450</v>
      </c>
      <c r="J9" s="27">
        <v>4922739</v>
      </c>
      <c r="K9" s="27">
        <v>5920509</v>
      </c>
      <c r="L9" s="27">
        <v>6167176</v>
      </c>
      <c r="M9" s="27">
        <v>5901375</v>
      </c>
      <c r="N9" s="47">
        <f t="shared" ref="N9:S9" si="1">$M$42*N8</f>
        <v>6019402.5</v>
      </c>
      <c r="O9" s="47">
        <f t="shared" si="1"/>
        <v>6139790.5500000007</v>
      </c>
      <c r="P9" s="47">
        <f t="shared" si="1"/>
        <v>6262586.3610000014</v>
      </c>
      <c r="Q9" s="47">
        <f t="shared" si="1"/>
        <v>6387838.0882200012</v>
      </c>
      <c r="R9" s="47">
        <f t="shared" si="1"/>
        <v>6515594.8499844018</v>
      </c>
      <c r="S9" s="47">
        <f t="shared" si="1"/>
        <v>6580750.7984842462</v>
      </c>
      <c r="W9" s="58"/>
      <c r="X9" s="66"/>
    </row>
    <row r="10" spans="1:30" x14ac:dyDescent="0.25">
      <c r="A10" s="11" t="s">
        <v>48</v>
      </c>
      <c r="B10" s="12"/>
      <c r="C10" s="13">
        <v>3336166</v>
      </c>
      <c r="D10" s="13">
        <v>3382675</v>
      </c>
      <c r="E10" s="14">
        <v>3157891</v>
      </c>
      <c r="F10" s="14">
        <v>3444519</v>
      </c>
      <c r="G10" s="14">
        <v>3575325</v>
      </c>
      <c r="H10" s="14">
        <v>3622478</v>
      </c>
      <c r="I10" s="14">
        <v>3701269</v>
      </c>
      <c r="J10" s="14">
        <v>4048598</v>
      </c>
      <c r="K10" s="14">
        <v>4498785</v>
      </c>
      <c r="L10" s="14">
        <v>4997816</v>
      </c>
      <c r="M10" s="40">
        <v>5300888</v>
      </c>
      <c r="N10" s="15">
        <f>N8-N9</f>
        <v>5406905.7599999998</v>
      </c>
      <c r="O10" s="15">
        <f>O8-O9</f>
        <v>5515043.8751999997</v>
      </c>
      <c r="P10" s="15">
        <f>P8-P9</f>
        <v>5625344.7527040001</v>
      </c>
      <c r="Q10" s="15">
        <f t="shared" ref="Q10" si="2">Q8-Q9</f>
        <v>5737851.6477580806</v>
      </c>
      <c r="R10" s="15">
        <f>R8-R9</f>
        <v>5852608.6807132419</v>
      </c>
      <c r="S10" s="15">
        <f>S8-S9</f>
        <v>5911134.7675203746</v>
      </c>
      <c r="W10" s="58"/>
      <c r="X10" s="84"/>
    </row>
    <row r="11" spans="1:30" x14ac:dyDescent="0.25">
      <c r="A11" s="25" t="s">
        <v>49</v>
      </c>
      <c r="B11" s="26"/>
      <c r="C11" s="27">
        <v>1900970</v>
      </c>
      <c r="D11" s="27">
        <v>1969308</v>
      </c>
      <c r="E11" s="27">
        <v>1915378</v>
      </c>
      <c r="F11" s="27">
        <v>1913403</v>
      </c>
      <c r="G11" s="27">
        <v>1874829</v>
      </c>
      <c r="H11" s="27">
        <v>1905929</v>
      </c>
      <c r="I11" s="27">
        <v>1890925</v>
      </c>
      <c r="J11" s="27">
        <v>2001351</v>
      </c>
      <c r="K11" s="27">
        <v>2236009</v>
      </c>
      <c r="L11" s="27">
        <v>2436508</v>
      </c>
      <c r="M11" s="27">
        <v>2373621</v>
      </c>
      <c r="N11" s="47">
        <f>$M$44*N8</f>
        <v>2421093.42</v>
      </c>
      <c r="O11" s="47">
        <f>$M$44*O8</f>
        <v>2469515.2884</v>
      </c>
      <c r="P11" s="47">
        <f>$M$44*P8</f>
        <v>2518905.5941680004</v>
      </c>
      <c r="Q11" s="47">
        <f t="shared" ref="Q11:R11" si="3">$M$44*Q8</f>
        <v>2569283.7060513604</v>
      </c>
      <c r="R11" s="47">
        <f t="shared" si="3"/>
        <v>2620669.3801723877</v>
      </c>
      <c r="S11" s="47">
        <f>$M$44*S8</f>
        <v>2646876.0739741116</v>
      </c>
      <c r="Y11" s="84"/>
      <c r="Z11" s="84"/>
      <c r="AA11" s="84"/>
      <c r="AB11" s="84"/>
      <c r="AC11" s="84"/>
      <c r="AD11" s="84"/>
    </row>
    <row r="12" spans="1:30" x14ac:dyDescent="0.25">
      <c r="A12" s="25" t="s">
        <v>50</v>
      </c>
      <c r="B12" s="26"/>
      <c r="C12" s="28">
        <v>45621</v>
      </c>
      <c r="D12" s="27">
        <v>375608</v>
      </c>
      <c r="E12" s="27">
        <v>36730</v>
      </c>
      <c r="F12" s="27">
        <v>256475</v>
      </c>
      <c r="G12" s="27">
        <v>76832</v>
      </c>
      <c r="H12" s="27">
        <v>120597</v>
      </c>
      <c r="I12" s="27">
        <v>27646</v>
      </c>
      <c r="J12" s="27">
        <v>3525</v>
      </c>
      <c r="K12" s="27">
        <v>1989</v>
      </c>
      <c r="L12" s="27">
        <v>441</v>
      </c>
      <c r="M12" s="47">
        <v>29035</v>
      </c>
      <c r="N12" s="60">
        <f>$M$45*N8</f>
        <v>29615.699999999997</v>
      </c>
      <c r="O12" s="60">
        <f>$M$45*O8</f>
        <v>30208.013999999999</v>
      </c>
      <c r="P12" s="60">
        <f t="shared" ref="P12:Q12" si="4">$M$45*P8</f>
        <v>30812.174280000003</v>
      </c>
      <c r="Q12" s="60">
        <f t="shared" si="4"/>
        <v>31428.417765600003</v>
      </c>
      <c r="R12" s="60">
        <f>$M$45*R8</f>
        <v>32056.986120912003</v>
      </c>
      <c r="S12" s="60">
        <f>$M$45*S8</f>
        <v>32377.555982121125</v>
      </c>
      <c r="W12" s="114"/>
      <c r="X12" s="9"/>
    </row>
    <row r="13" spans="1:30" x14ac:dyDescent="0.25">
      <c r="A13" s="11" t="s">
        <v>51</v>
      </c>
      <c r="B13" s="12"/>
      <c r="C13" s="14">
        <v>1389575</v>
      </c>
      <c r="D13" s="14">
        <v>1037759</v>
      </c>
      <c r="E13" s="14">
        <v>1205783</v>
      </c>
      <c r="F13" s="14">
        <v>1274641</v>
      </c>
      <c r="G13" s="14">
        <v>1623664</v>
      </c>
      <c r="H13" s="14">
        <v>1595952</v>
      </c>
      <c r="I13" s="14">
        <v>1782698</v>
      </c>
      <c r="J13" s="14">
        <v>2043722</v>
      </c>
      <c r="K13" s="14">
        <v>2260787</v>
      </c>
      <c r="L13" s="14">
        <v>2560867</v>
      </c>
      <c r="M13" s="45">
        <v>2898232</v>
      </c>
      <c r="N13" s="40">
        <f>N10-N11-N12</f>
        <v>2956196.6399999997</v>
      </c>
      <c r="O13" s="40">
        <f t="shared" ref="O13:S13" si="5">O10-O11-O12</f>
        <v>3015320.5727999997</v>
      </c>
      <c r="P13" s="40">
        <f t="shared" si="5"/>
        <v>3075626.9842559998</v>
      </c>
      <c r="Q13" s="40">
        <f t="shared" si="5"/>
        <v>3137139.5239411201</v>
      </c>
      <c r="R13" s="40">
        <f t="shared" si="5"/>
        <v>3199882.3144199424</v>
      </c>
      <c r="S13" s="40">
        <f t="shared" si="5"/>
        <v>3231881.1375641418</v>
      </c>
      <c r="T13" s="6"/>
      <c r="U13" s="6"/>
      <c r="V13" s="6"/>
      <c r="W13" s="59"/>
      <c r="X13" s="88"/>
    </row>
    <row r="14" spans="1:30" x14ac:dyDescent="0.25">
      <c r="A14" s="29" t="s">
        <v>52</v>
      </c>
      <c r="B14" s="32"/>
      <c r="C14" s="31">
        <v>-83532</v>
      </c>
      <c r="D14" s="31">
        <v>-105773</v>
      </c>
      <c r="E14" s="31">
        <v>-90143</v>
      </c>
      <c r="F14" s="31">
        <v>-98282</v>
      </c>
      <c r="G14" s="31">
        <v>-138837</v>
      </c>
      <c r="H14" s="31">
        <v>-144125</v>
      </c>
      <c r="I14" s="31">
        <v>-149374</v>
      </c>
      <c r="J14" s="31">
        <v>-127417</v>
      </c>
      <c r="K14" s="31">
        <v>-137557</v>
      </c>
      <c r="L14" s="31">
        <v>-151785</v>
      </c>
      <c r="M14" s="53">
        <v>-165655</v>
      </c>
      <c r="N14" s="53">
        <f>$M$47*N8</f>
        <v>-168968.1</v>
      </c>
      <c r="O14" s="53">
        <f>$M$47*O8</f>
        <v>-172347.462</v>
      </c>
      <c r="P14" s="53">
        <f>$M$47*P8</f>
        <v>-175794.41124000004</v>
      </c>
      <c r="Q14" s="53">
        <f t="shared" ref="Q14:S14" si="6">$M$47*Q8</f>
        <v>-179310.29946480005</v>
      </c>
      <c r="R14" s="53">
        <f t="shared" si="6"/>
        <v>-182896.50545409604</v>
      </c>
      <c r="S14" s="53">
        <f t="shared" si="6"/>
        <v>-184725.47050863702</v>
      </c>
    </row>
    <row r="15" spans="1:30" x14ac:dyDescent="0.25">
      <c r="A15" s="29" t="s">
        <v>53</v>
      </c>
      <c r="B15" s="32"/>
      <c r="C15" s="33">
        <v>0</v>
      </c>
      <c r="D15" s="31">
        <v>-30139</v>
      </c>
      <c r="E15" s="31">
        <v>-16159</v>
      </c>
      <c r="F15" s="31">
        <v>-65691</v>
      </c>
      <c r="G15" s="31">
        <v>-74766</v>
      </c>
      <c r="H15" s="31">
        <v>-71043</v>
      </c>
      <c r="I15" s="31">
        <v>-138327</v>
      </c>
      <c r="J15" s="31">
        <v>-119081</v>
      </c>
      <c r="K15" s="31">
        <v>-206159</v>
      </c>
      <c r="L15" s="33">
        <v>-237218</v>
      </c>
      <c r="M15" s="53">
        <v>-258641</v>
      </c>
      <c r="N15" s="53">
        <f>$M$48*N8</f>
        <v>-263813.82</v>
      </c>
      <c r="O15" s="53">
        <f t="shared" ref="O15:S15" si="7">$M$48*O8</f>
        <v>-269090.09639999998</v>
      </c>
      <c r="P15" s="53">
        <f t="shared" si="7"/>
        <v>-274471.89832800004</v>
      </c>
      <c r="Q15" s="53">
        <f t="shared" si="7"/>
        <v>-279961.33629456005</v>
      </c>
      <c r="R15" s="53">
        <f t="shared" si="7"/>
        <v>-285560.56302045123</v>
      </c>
      <c r="S15" s="53">
        <f t="shared" si="7"/>
        <v>-288416.16865065577</v>
      </c>
    </row>
    <row r="16" spans="1:30" x14ac:dyDescent="0.25">
      <c r="A16" s="11" t="s">
        <v>54</v>
      </c>
      <c r="B16" s="12"/>
      <c r="C16" s="14">
        <v>1306043</v>
      </c>
      <c r="D16" s="14">
        <v>901847</v>
      </c>
      <c r="E16" s="14">
        <v>1099481</v>
      </c>
      <c r="F16" s="14">
        <v>1110668</v>
      </c>
      <c r="G16" s="14">
        <v>1410061</v>
      </c>
      <c r="H16" s="14">
        <v>1380784</v>
      </c>
      <c r="I16" s="14">
        <v>1494997</v>
      </c>
      <c r="J16" s="14">
        <v>1797224</v>
      </c>
      <c r="K16" s="14">
        <v>1917071</v>
      </c>
      <c r="L16" s="14">
        <v>2171864</v>
      </c>
      <c r="M16" s="45">
        <f>SUM(M13:M15)</f>
        <v>2473936</v>
      </c>
      <c r="N16" s="40">
        <f>SUM(N13:N15)</f>
        <v>2523414.7199999997</v>
      </c>
      <c r="O16" s="40">
        <f t="shared" ref="O16:S16" si="8">SUM(O13:O15)</f>
        <v>2573883.0143999998</v>
      </c>
      <c r="P16" s="40">
        <f t="shared" si="8"/>
        <v>2625360.6746879998</v>
      </c>
      <c r="Q16" s="40">
        <f t="shared" si="8"/>
        <v>2677867.88818176</v>
      </c>
      <c r="R16" s="40">
        <f t="shared" si="8"/>
        <v>2731425.245945395</v>
      </c>
      <c r="S16" s="40">
        <f t="shared" si="8"/>
        <v>2758739.4984048493</v>
      </c>
      <c r="T16" s="6"/>
      <c r="U16" s="6"/>
      <c r="V16" s="6"/>
      <c r="W16" s="6"/>
    </row>
    <row r="17" spans="1:24" x14ac:dyDescent="0.25">
      <c r="A17" s="37" t="s">
        <v>55</v>
      </c>
      <c r="B17" s="38"/>
      <c r="C17" s="39">
        <v>459131</v>
      </c>
      <c r="D17" s="39">
        <v>388896</v>
      </c>
      <c r="E17" s="39">
        <v>379437</v>
      </c>
      <c r="F17" s="39">
        <v>354131</v>
      </c>
      <c r="G17" s="39">
        <v>239010</v>
      </c>
      <c r="H17" s="39">
        <v>234032</v>
      </c>
      <c r="I17" s="39">
        <v>219584</v>
      </c>
      <c r="J17" s="39">
        <v>314405</v>
      </c>
      <c r="K17" s="39">
        <v>272254</v>
      </c>
      <c r="L17" s="39">
        <v>310077</v>
      </c>
      <c r="M17" s="15">
        <v>252697</v>
      </c>
      <c r="N17" s="15">
        <f>$M$50*N8</f>
        <v>257750.93999999997</v>
      </c>
      <c r="O17" s="15">
        <f>$M$50*O8</f>
        <v>262905.95880000002</v>
      </c>
      <c r="P17" s="15">
        <f t="shared" ref="P17:Q17" si="9">$M$50*P8</f>
        <v>268164.07797600003</v>
      </c>
      <c r="Q17" s="15">
        <f t="shared" si="9"/>
        <v>273527.35953552002</v>
      </c>
      <c r="R17" s="15">
        <f>$M$50*R8</f>
        <v>278997.90672623046</v>
      </c>
      <c r="S17" s="15">
        <f>$M$50*S8</f>
        <v>281787.88579349278</v>
      </c>
    </row>
    <row r="18" spans="1:24" x14ac:dyDescent="0.25">
      <c r="A18" s="11" t="s">
        <v>56</v>
      </c>
      <c r="B18" s="12"/>
      <c r="C18" s="14">
        <v>846912</v>
      </c>
      <c r="D18" s="14">
        <v>512951</v>
      </c>
      <c r="E18" s="14">
        <v>720044</v>
      </c>
      <c r="F18" s="14">
        <v>756537</v>
      </c>
      <c r="G18" s="14">
        <v>1171051</v>
      </c>
      <c r="H18" s="14">
        <v>1146752</v>
      </c>
      <c r="I18" s="14">
        <v>1275413</v>
      </c>
      <c r="J18" s="14">
        <v>1482819</v>
      </c>
      <c r="K18" s="14">
        <v>1644817</v>
      </c>
      <c r="L18" s="14">
        <v>1861787</v>
      </c>
      <c r="M18" s="45">
        <f>M16-M17</f>
        <v>2221239</v>
      </c>
      <c r="N18" s="40">
        <f>N16-N17</f>
        <v>2265663.7799999998</v>
      </c>
      <c r="O18" s="40">
        <f t="shared" ref="O18:S18" si="10">O16-O17</f>
        <v>2310977.0555999996</v>
      </c>
      <c r="P18" s="40">
        <f t="shared" si="10"/>
        <v>2357196.5967119997</v>
      </c>
      <c r="Q18" s="40">
        <f t="shared" si="10"/>
        <v>2404340.52864624</v>
      </c>
      <c r="R18" s="40">
        <f t="shared" si="10"/>
        <v>2452427.3392191646</v>
      </c>
      <c r="S18" s="40">
        <f t="shared" si="10"/>
        <v>2476951.6126113567</v>
      </c>
      <c r="T18" s="6"/>
      <c r="U18" s="6"/>
      <c r="V18" s="6"/>
      <c r="W18" s="6"/>
      <c r="X18" s="6"/>
    </row>
    <row r="19" spans="1:24" x14ac:dyDescent="0.25">
      <c r="A19" s="29" t="s">
        <v>82</v>
      </c>
      <c r="B19" s="32"/>
      <c r="C19" s="33">
        <v>0</v>
      </c>
      <c r="D19" s="33">
        <v>0</v>
      </c>
      <c r="E19" s="33">
        <v>0</v>
      </c>
      <c r="F19" s="31">
        <v>26444</v>
      </c>
      <c r="G19" s="31">
        <v>6511</v>
      </c>
      <c r="H19" s="31">
        <v>2940</v>
      </c>
      <c r="I19" s="31">
        <v>3295</v>
      </c>
      <c r="J19" s="31">
        <v>-5307</v>
      </c>
      <c r="K19" s="33">
        <v>0</v>
      </c>
      <c r="L19" s="33">
        <v>0</v>
      </c>
      <c r="M19" s="54" t="s">
        <v>84</v>
      </c>
      <c r="N19" s="54" t="s">
        <v>84</v>
      </c>
      <c r="O19" s="54" t="s">
        <v>84</v>
      </c>
      <c r="P19" s="54" t="s">
        <v>84</v>
      </c>
      <c r="Q19" s="54" t="s">
        <v>84</v>
      </c>
      <c r="R19" s="54" t="s">
        <v>84</v>
      </c>
      <c r="S19" s="54" t="s">
        <v>84</v>
      </c>
      <c r="T19" s="6"/>
      <c r="U19" s="6"/>
      <c r="V19" s="6"/>
      <c r="W19" s="6"/>
      <c r="X19" s="6"/>
    </row>
    <row r="20" spans="1:24" x14ac:dyDescent="0.25">
      <c r="A20" s="11" t="s">
        <v>57</v>
      </c>
      <c r="B20" s="12"/>
      <c r="C20" s="13">
        <v>846912</v>
      </c>
      <c r="D20" s="13">
        <v>512951</v>
      </c>
      <c r="E20" s="13">
        <v>720044</v>
      </c>
      <c r="F20" s="14">
        <v>782981</v>
      </c>
      <c r="G20" s="14">
        <v>1177562</v>
      </c>
      <c r="H20" s="14">
        <v>1149692</v>
      </c>
      <c r="I20" s="14">
        <v>1278708</v>
      </c>
      <c r="J20" s="14">
        <v>1477512</v>
      </c>
      <c r="K20" s="14">
        <v>1644817</v>
      </c>
      <c r="L20" s="13">
        <v>1861787</v>
      </c>
      <c r="M20" s="45">
        <f>2221239</f>
        <v>2221239</v>
      </c>
      <c r="N20" s="45">
        <f>N18</f>
        <v>2265663.7799999998</v>
      </c>
      <c r="O20" s="45">
        <f t="shared" ref="O20:S20" si="11">O18</f>
        <v>2310977.0555999996</v>
      </c>
      <c r="P20" s="45">
        <f t="shared" si="11"/>
        <v>2357196.5967119997</v>
      </c>
      <c r="Q20" s="45">
        <f t="shared" si="11"/>
        <v>2404340.52864624</v>
      </c>
      <c r="R20" s="45">
        <f t="shared" si="11"/>
        <v>2452427.3392191646</v>
      </c>
      <c r="S20" s="45">
        <f t="shared" si="11"/>
        <v>2476951.6126113567</v>
      </c>
    </row>
    <row r="21" spans="1:24" x14ac:dyDescent="0.25">
      <c r="M21" s="15"/>
    </row>
    <row r="22" spans="1:24" ht="17.399999999999999" x14ac:dyDescent="0.3">
      <c r="A22" s="21" t="s">
        <v>58</v>
      </c>
      <c r="C22" s="22">
        <f>C13</f>
        <v>1389575</v>
      </c>
      <c r="D22" s="22">
        <f t="shared" ref="D22:K22" si="12">D13</f>
        <v>1037759</v>
      </c>
      <c r="E22" s="22">
        <f t="shared" si="12"/>
        <v>1205783</v>
      </c>
      <c r="F22" s="22">
        <f t="shared" si="12"/>
        <v>1274641</v>
      </c>
      <c r="G22" s="22">
        <f t="shared" si="12"/>
        <v>1623664</v>
      </c>
      <c r="H22" s="22">
        <f t="shared" si="12"/>
        <v>1595952</v>
      </c>
      <c r="I22" s="22">
        <f t="shared" si="12"/>
        <v>1782698</v>
      </c>
      <c r="J22" s="22">
        <f t="shared" si="12"/>
        <v>2043722</v>
      </c>
      <c r="K22" s="22">
        <f t="shared" si="12"/>
        <v>2260787</v>
      </c>
      <c r="L22" s="22">
        <f>L13</f>
        <v>2560867</v>
      </c>
      <c r="M22" s="45">
        <f>M13</f>
        <v>2898232</v>
      </c>
      <c r="N22" s="45">
        <f>N13</f>
        <v>2956196.6399999997</v>
      </c>
      <c r="O22" s="45">
        <f t="shared" ref="O22:Q22" si="13">O13</f>
        <v>3015320.5727999997</v>
      </c>
      <c r="P22" s="45">
        <f t="shared" si="13"/>
        <v>3075626.9842559998</v>
      </c>
      <c r="Q22" s="45">
        <f t="shared" si="13"/>
        <v>3137139.5239411201</v>
      </c>
      <c r="R22" s="45">
        <f>R13</f>
        <v>3199882.3144199424</v>
      </c>
      <c r="S22" s="45">
        <f>S13</f>
        <v>3231881.1375641418</v>
      </c>
    </row>
    <row r="23" spans="1:24" ht="17.399999999999999" x14ac:dyDescent="0.3">
      <c r="A23" s="21" t="s">
        <v>59</v>
      </c>
      <c r="C23" s="22">
        <f t="shared" ref="C23:K23" si="14">C17*-1</f>
        <v>-459131</v>
      </c>
      <c r="D23" s="22">
        <f t="shared" si="14"/>
        <v>-388896</v>
      </c>
      <c r="E23" s="22">
        <f t="shared" si="14"/>
        <v>-379437</v>
      </c>
      <c r="F23" s="22">
        <f t="shared" si="14"/>
        <v>-354131</v>
      </c>
      <c r="G23" s="22">
        <f t="shared" si="14"/>
        <v>-239010</v>
      </c>
      <c r="H23" s="22">
        <f t="shared" si="14"/>
        <v>-234032</v>
      </c>
      <c r="I23" s="22">
        <f t="shared" si="14"/>
        <v>-219584</v>
      </c>
      <c r="J23" s="22">
        <f t="shared" si="14"/>
        <v>-314405</v>
      </c>
      <c r="K23" s="22">
        <f t="shared" si="14"/>
        <v>-272254</v>
      </c>
      <c r="L23" s="22">
        <f>L17*-1</f>
        <v>-310077</v>
      </c>
      <c r="M23" s="22">
        <f>M17*-1</f>
        <v>-252697</v>
      </c>
      <c r="N23" s="22">
        <f t="shared" ref="N23:S23" si="15">N17*-1</f>
        <v>-257750.93999999997</v>
      </c>
      <c r="O23" s="22">
        <f t="shared" si="15"/>
        <v>-262905.95880000002</v>
      </c>
      <c r="P23" s="22">
        <f t="shared" si="15"/>
        <v>-268164.07797600003</v>
      </c>
      <c r="Q23" s="22">
        <f t="shared" si="15"/>
        <v>-273527.35953552002</v>
      </c>
      <c r="R23" s="22">
        <f t="shared" si="15"/>
        <v>-278997.90672623046</v>
      </c>
      <c r="S23" s="22">
        <f t="shared" si="15"/>
        <v>-281787.88579349278</v>
      </c>
    </row>
    <row r="24" spans="1:24" ht="17.399999999999999" x14ac:dyDescent="0.3">
      <c r="A24" s="21" t="s">
        <v>60</v>
      </c>
      <c r="C24" s="22">
        <f t="shared" ref="C24:K24" si="16">(C14+C15)*C26</f>
        <v>-29236.199999999997</v>
      </c>
      <c r="D24" s="22">
        <f t="shared" si="16"/>
        <v>-47569.2</v>
      </c>
      <c r="E24" s="22">
        <f t="shared" si="16"/>
        <v>-37205.699999999997</v>
      </c>
      <c r="F24" s="22">
        <f t="shared" si="16"/>
        <v>-57390.549999999996</v>
      </c>
      <c r="G24" s="22">
        <f t="shared" si="16"/>
        <v>-44856.63</v>
      </c>
      <c r="H24" s="22">
        <f t="shared" si="16"/>
        <v>-45185.279999999999</v>
      </c>
      <c r="I24" s="22">
        <f t="shared" si="16"/>
        <v>-60417.21</v>
      </c>
      <c r="J24" s="22">
        <f t="shared" si="16"/>
        <v>-51764.579999999994</v>
      </c>
      <c r="K24" s="22">
        <f t="shared" si="16"/>
        <v>-72180.36</v>
      </c>
      <c r="L24" s="22">
        <f>(L14+L15)*L26</f>
        <v>-81690.62999999999</v>
      </c>
      <c r="M24" s="22">
        <f>(M14+M15)*M26</f>
        <v>-89102.16</v>
      </c>
      <c r="N24" s="22">
        <f t="shared" ref="N24:S24" si="17">(N14+N15)*N26</f>
        <v>-90884.203200000004</v>
      </c>
      <c r="O24" s="22">
        <f t="shared" si="17"/>
        <v>-92701.88726399999</v>
      </c>
      <c r="P24" s="22">
        <f t="shared" si="17"/>
        <v>-94555.925009280021</v>
      </c>
      <c r="Q24" s="22">
        <f t="shared" si="17"/>
        <v>-96447.043509465613</v>
      </c>
      <c r="R24" s="22">
        <f>(R14+R15)*R26</f>
        <v>-98375.98437965491</v>
      </c>
      <c r="S24" s="22">
        <f t="shared" si="17"/>
        <v>-99359.744223451489</v>
      </c>
    </row>
    <row r="25" spans="1:24" ht="17.399999999999999" x14ac:dyDescent="0.3">
      <c r="A25" s="21" t="s">
        <v>61</v>
      </c>
      <c r="C25" s="22">
        <f t="shared" ref="C25:K25" si="18">C23+C24</f>
        <v>-488367.2</v>
      </c>
      <c r="D25" s="22">
        <f t="shared" si="18"/>
        <v>-436465.2</v>
      </c>
      <c r="E25" s="22">
        <f t="shared" si="18"/>
        <v>-416642.7</v>
      </c>
      <c r="F25" s="22">
        <f t="shared" si="18"/>
        <v>-411521.55</v>
      </c>
      <c r="G25" s="22">
        <f t="shared" si="18"/>
        <v>-283866.63</v>
      </c>
      <c r="H25" s="22">
        <f t="shared" si="18"/>
        <v>-279217.28000000003</v>
      </c>
      <c r="I25" s="22">
        <f t="shared" si="18"/>
        <v>-280001.21000000002</v>
      </c>
      <c r="J25" s="22">
        <f t="shared" si="18"/>
        <v>-366169.58</v>
      </c>
      <c r="K25" s="22">
        <f t="shared" si="18"/>
        <v>-344434.36</v>
      </c>
      <c r="L25" s="22">
        <f>L23+L24</f>
        <v>-391767.63</v>
      </c>
      <c r="M25" s="22">
        <f>M23+M24</f>
        <v>-341799.16000000003</v>
      </c>
      <c r="N25" s="22">
        <f t="shared" ref="N25:S25" si="19">N23+N24</f>
        <v>-348635.14319999999</v>
      </c>
      <c r="O25" s="22">
        <f t="shared" si="19"/>
        <v>-355607.84606400004</v>
      </c>
      <c r="P25" s="22">
        <f t="shared" si="19"/>
        <v>-362720.00298528007</v>
      </c>
      <c r="Q25" s="22">
        <f t="shared" si="19"/>
        <v>-369974.40304498561</v>
      </c>
      <c r="R25" s="22">
        <f t="shared" si="19"/>
        <v>-377373.89110588538</v>
      </c>
      <c r="S25" s="22">
        <f t="shared" si="19"/>
        <v>-381147.63001694425</v>
      </c>
    </row>
    <row r="26" spans="1:24" ht="17.399999999999999" x14ac:dyDescent="0.3">
      <c r="A26" s="21" t="s">
        <v>62</v>
      </c>
      <c r="C26" s="23">
        <v>0.35</v>
      </c>
      <c r="D26" s="23">
        <v>0.35</v>
      </c>
      <c r="E26" s="23">
        <v>0.35</v>
      </c>
      <c r="F26" s="23">
        <v>0.35</v>
      </c>
      <c r="G26" s="23">
        <v>0.21</v>
      </c>
      <c r="H26" s="23">
        <v>0.21</v>
      </c>
      <c r="I26" s="23">
        <v>0.21</v>
      </c>
      <c r="J26" s="23">
        <v>0.21</v>
      </c>
      <c r="K26" s="23">
        <v>0.21</v>
      </c>
      <c r="L26" s="23">
        <v>0.21</v>
      </c>
      <c r="M26" s="64">
        <v>0.21</v>
      </c>
      <c r="N26" s="64">
        <v>0.21</v>
      </c>
      <c r="O26" s="64">
        <v>0.21</v>
      </c>
      <c r="P26" s="64">
        <v>0.21</v>
      </c>
      <c r="Q26" s="64">
        <v>0.21</v>
      </c>
      <c r="R26" s="64">
        <v>0.21</v>
      </c>
      <c r="S26" s="64">
        <v>0.21</v>
      </c>
    </row>
    <row r="27" spans="1:24" ht="17.399999999999999" x14ac:dyDescent="0.3">
      <c r="A27" s="21" t="s">
        <v>63</v>
      </c>
      <c r="C27" s="22">
        <f t="shared" ref="C27:L27" si="20">C22+C25</f>
        <v>901207.8</v>
      </c>
      <c r="D27" s="22">
        <f t="shared" si="20"/>
        <v>601293.80000000005</v>
      </c>
      <c r="E27" s="22">
        <f t="shared" si="20"/>
        <v>789140.3</v>
      </c>
      <c r="F27" s="22">
        <f t="shared" si="20"/>
        <v>863119.45</v>
      </c>
      <c r="G27" s="22">
        <f t="shared" si="20"/>
        <v>1339797.3700000001</v>
      </c>
      <c r="H27" s="22">
        <f t="shared" si="20"/>
        <v>1316734.72</v>
      </c>
      <c r="I27" s="22">
        <f t="shared" si="20"/>
        <v>1502696.79</v>
      </c>
      <c r="J27" s="22">
        <f t="shared" si="20"/>
        <v>1677552.42</v>
      </c>
      <c r="K27" s="22">
        <f t="shared" si="20"/>
        <v>1916352.6400000001</v>
      </c>
      <c r="L27" s="22">
        <f t="shared" si="20"/>
        <v>2169099.37</v>
      </c>
      <c r="M27" s="22">
        <f>M22+M25</f>
        <v>2556432.84</v>
      </c>
      <c r="N27" s="22">
        <f t="shared" ref="N27:Q27" si="21">N22+N25</f>
        <v>2607561.4967999998</v>
      </c>
      <c r="O27" s="22">
        <f t="shared" si="21"/>
        <v>2659712.7267359998</v>
      </c>
      <c r="P27" s="22">
        <f t="shared" si="21"/>
        <v>2712906.9812707198</v>
      </c>
      <c r="Q27" s="22">
        <f t="shared" si="21"/>
        <v>2767165.1208961345</v>
      </c>
      <c r="R27" s="22">
        <f>R22+R25</f>
        <v>2822508.4233140573</v>
      </c>
      <c r="S27" s="22">
        <f>S22+S25</f>
        <v>2850733.5075471974</v>
      </c>
    </row>
    <row r="28" spans="1:24" x14ac:dyDescent="0.25">
      <c r="M28" s="15"/>
    </row>
    <row r="29" spans="1:24" x14ac:dyDescent="0.25">
      <c r="M29" s="15"/>
    </row>
    <row r="30" spans="1:24" x14ac:dyDescent="0.25">
      <c r="A30" t="s">
        <v>83</v>
      </c>
      <c r="M30" s="15"/>
    </row>
    <row r="31" spans="1:24" ht="17.399999999999999" x14ac:dyDescent="0.3">
      <c r="A31" s="21" t="s">
        <v>58</v>
      </c>
      <c r="C31" s="22">
        <f t="shared" ref="C31:K31" si="22">C13</f>
        <v>1389575</v>
      </c>
      <c r="D31" s="22">
        <f t="shared" si="22"/>
        <v>1037759</v>
      </c>
      <c r="E31" s="22">
        <f t="shared" si="22"/>
        <v>1205783</v>
      </c>
      <c r="F31" s="22">
        <f t="shared" si="22"/>
        <v>1274641</v>
      </c>
      <c r="G31" s="22">
        <f t="shared" si="22"/>
        <v>1623664</v>
      </c>
      <c r="H31" s="22">
        <f t="shared" si="22"/>
        <v>1595952</v>
      </c>
      <c r="I31" s="22">
        <f t="shared" si="22"/>
        <v>1782698</v>
      </c>
      <c r="J31" s="22">
        <f t="shared" si="22"/>
        <v>2043722</v>
      </c>
      <c r="K31" s="22">
        <f t="shared" si="22"/>
        <v>2260787</v>
      </c>
      <c r="L31" s="22">
        <f>L13</f>
        <v>2560867</v>
      </c>
      <c r="M31" s="22">
        <f>M13</f>
        <v>2898232</v>
      </c>
      <c r="N31" s="22">
        <f>N13</f>
        <v>2956196.6399999997</v>
      </c>
      <c r="O31" s="22">
        <f t="shared" ref="O31:S31" si="23">O13</f>
        <v>3015320.5727999997</v>
      </c>
      <c r="P31" s="22">
        <f t="shared" si="23"/>
        <v>3075626.9842559998</v>
      </c>
      <c r="Q31" s="22">
        <f t="shared" si="23"/>
        <v>3137139.5239411201</v>
      </c>
      <c r="R31" s="22">
        <f t="shared" si="23"/>
        <v>3199882.3144199424</v>
      </c>
      <c r="S31" s="22">
        <f t="shared" si="23"/>
        <v>3231881.1375641418</v>
      </c>
    </row>
    <row r="32" spans="1:24" ht="17.399999999999999" x14ac:dyDescent="0.3">
      <c r="A32" s="21" t="s">
        <v>59</v>
      </c>
      <c r="C32" s="22">
        <f t="shared" ref="C32:S32" si="24">C17*-1</f>
        <v>-459131</v>
      </c>
      <c r="D32" s="22">
        <f t="shared" si="24"/>
        <v>-388896</v>
      </c>
      <c r="E32" s="22">
        <f t="shared" si="24"/>
        <v>-379437</v>
      </c>
      <c r="F32" s="22">
        <f t="shared" si="24"/>
        <v>-354131</v>
      </c>
      <c r="G32" s="22">
        <f t="shared" si="24"/>
        <v>-239010</v>
      </c>
      <c r="H32" s="22">
        <f t="shared" si="24"/>
        <v>-234032</v>
      </c>
      <c r="I32" s="22">
        <f t="shared" si="24"/>
        <v>-219584</v>
      </c>
      <c r="J32" s="22">
        <f t="shared" si="24"/>
        <v>-314405</v>
      </c>
      <c r="K32" s="22">
        <f t="shared" si="24"/>
        <v>-272254</v>
      </c>
      <c r="L32" s="22">
        <f t="shared" si="24"/>
        <v>-310077</v>
      </c>
      <c r="M32" s="22">
        <f>M17*-1</f>
        <v>-252697</v>
      </c>
      <c r="N32" s="22">
        <f>N17*-1</f>
        <v>-257750.93999999997</v>
      </c>
      <c r="O32" s="22">
        <f t="shared" si="24"/>
        <v>-262905.95880000002</v>
      </c>
      <c r="P32" s="22">
        <f t="shared" si="24"/>
        <v>-268164.07797600003</v>
      </c>
      <c r="Q32" s="22">
        <f t="shared" si="24"/>
        <v>-273527.35953552002</v>
      </c>
      <c r="R32" s="22">
        <f t="shared" si="24"/>
        <v>-278997.90672623046</v>
      </c>
      <c r="S32" s="22">
        <f t="shared" si="24"/>
        <v>-281787.88579349278</v>
      </c>
    </row>
    <row r="33" spans="1:19" ht="17.399999999999999" x14ac:dyDescent="0.3">
      <c r="A33" s="21" t="s">
        <v>60</v>
      </c>
      <c r="C33" s="22">
        <f t="shared" ref="C33:K33" si="25">C14*C35</f>
        <v>-29236.199999999997</v>
      </c>
      <c r="D33" s="22">
        <f t="shared" si="25"/>
        <v>-37020.549999999996</v>
      </c>
      <c r="E33" s="22">
        <f t="shared" si="25"/>
        <v>-31550.05</v>
      </c>
      <c r="F33" s="22">
        <f t="shared" si="25"/>
        <v>-34398.699999999997</v>
      </c>
      <c r="G33" s="22">
        <f t="shared" si="25"/>
        <v>-29155.77</v>
      </c>
      <c r="H33" s="22">
        <f t="shared" si="25"/>
        <v>-30266.25</v>
      </c>
      <c r="I33" s="22">
        <f t="shared" si="25"/>
        <v>-31368.539999999997</v>
      </c>
      <c r="J33" s="22">
        <f t="shared" si="25"/>
        <v>-26757.57</v>
      </c>
      <c r="K33" s="22">
        <f t="shared" si="25"/>
        <v>-28886.969999999998</v>
      </c>
      <c r="L33" s="22">
        <f>L14*L35</f>
        <v>-31874.85</v>
      </c>
      <c r="M33" s="22">
        <f>M14*M35</f>
        <v>-34787.549999999996</v>
      </c>
      <c r="N33" s="22">
        <f t="shared" ref="N33:S33" si="26">N14*N35</f>
        <v>-35483.300999999999</v>
      </c>
      <c r="O33" s="22">
        <f t="shared" si="26"/>
        <v>-36192.967019999996</v>
      </c>
      <c r="P33" s="22">
        <f t="shared" si="26"/>
        <v>-36916.826360400009</v>
      </c>
      <c r="Q33" s="22">
        <f t="shared" si="26"/>
        <v>-37655.162887608007</v>
      </c>
      <c r="R33" s="22">
        <f t="shared" si="26"/>
        <v>-38408.266145360169</v>
      </c>
      <c r="S33" s="22">
        <f t="shared" si="26"/>
        <v>-38792.348806813774</v>
      </c>
    </row>
    <row r="34" spans="1:19" ht="17.399999999999999" x14ac:dyDescent="0.3">
      <c r="A34" s="21" t="s">
        <v>61</v>
      </c>
      <c r="C34" s="22">
        <f>C32+C33</f>
        <v>-488367.2</v>
      </c>
      <c r="D34" s="22">
        <f t="shared" ref="D34:S34" si="27">D32+D33</f>
        <v>-425916.55</v>
      </c>
      <c r="E34" s="22">
        <f t="shared" si="27"/>
        <v>-410987.05</v>
      </c>
      <c r="F34" s="22">
        <f t="shared" si="27"/>
        <v>-388529.7</v>
      </c>
      <c r="G34" s="22">
        <f t="shared" si="27"/>
        <v>-268165.77</v>
      </c>
      <c r="H34" s="22">
        <f t="shared" si="27"/>
        <v>-264298.25</v>
      </c>
      <c r="I34" s="22">
        <f t="shared" si="27"/>
        <v>-250952.54</v>
      </c>
      <c r="J34" s="22">
        <f t="shared" si="27"/>
        <v>-341162.57</v>
      </c>
      <c r="K34" s="22">
        <f t="shared" si="27"/>
        <v>-301140.96999999997</v>
      </c>
      <c r="L34" s="22">
        <f t="shared" si="27"/>
        <v>-341951.85</v>
      </c>
      <c r="M34" s="22">
        <f t="shared" si="27"/>
        <v>-287484.55</v>
      </c>
      <c r="N34" s="22">
        <f t="shared" si="27"/>
        <v>-293234.24099999998</v>
      </c>
      <c r="O34" s="22">
        <f t="shared" si="27"/>
        <v>-299098.92582</v>
      </c>
      <c r="P34" s="22">
        <f t="shared" si="27"/>
        <v>-305080.90433640004</v>
      </c>
      <c r="Q34" s="22">
        <f t="shared" si="27"/>
        <v>-311182.52242312802</v>
      </c>
      <c r="R34" s="22">
        <f t="shared" si="27"/>
        <v>-317406.17287159065</v>
      </c>
      <c r="S34" s="22">
        <f t="shared" si="27"/>
        <v>-320580.23460030655</v>
      </c>
    </row>
    <row r="35" spans="1:19" ht="17.399999999999999" x14ac:dyDescent="0.3">
      <c r="A35" s="21" t="s">
        <v>62</v>
      </c>
      <c r="C35" s="23">
        <v>0.35</v>
      </c>
      <c r="D35" s="23">
        <v>0.35</v>
      </c>
      <c r="E35" s="23">
        <v>0.35</v>
      </c>
      <c r="F35" s="23">
        <v>0.35</v>
      </c>
      <c r="G35" s="23">
        <v>0.21</v>
      </c>
      <c r="H35" s="23">
        <v>0.21</v>
      </c>
      <c r="I35" s="23">
        <v>0.21</v>
      </c>
      <c r="J35" s="23">
        <v>0.21</v>
      </c>
      <c r="K35" s="23">
        <v>0.21</v>
      </c>
      <c r="L35" s="23">
        <v>0.21</v>
      </c>
      <c r="M35" s="23">
        <v>0.21</v>
      </c>
      <c r="N35" s="23">
        <v>0.21</v>
      </c>
      <c r="O35" s="23">
        <v>0.21</v>
      </c>
      <c r="P35" s="23">
        <v>0.21</v>
      </c>
      <c r="Q35" s="23">
        <v>0.21</v>
      </c>
      <c r="R35" s="23">
        <v>0.21</v>
      </c>
      <c r="S35" s="23">
        <v>0.21</v>
      </c>
    </row>
    <row r="36" spans="1:19" ht="17.399999999999999" x14ac:dyDescent="0.3">
      <c r="A36" s="21" t="s">
        <v>63</v>
      </c>
      <c r="C36" s="22">
        <f>C31+C34</f>
        <v>901207.8</v>
      </c>
      <c r="D36" s="22">
        <f>D31+D34</f>
        <v>611842.44999999995</v>
      </c>
      <c r="E36" s="22">
        <f t="shared" ref="E36:K36" si="28">E31+E34</f>
        <v>794795.95</v>
      </c>
      <c r="F36" s="22">
        <f t="shared" si="28"/>
        <v>886111.3</v>
      </c>
      <c r="G36" s="22">
        <f t="shared" si="28"/>
        <v>1355498.23</v>
      </c>
      <c r="H36" s="22">
        <f t="shared" si="28"/>
        <v>1331653.75</v>
      </c>
      <c r="I36" s="22">
        <f t="shared" si="28"/>
        <v>1531745.46</v>
      </c>
      <c r="J36" s="22">
        <f t="shared" si="28"/>
        <v>1702559.43</v>
      </c>
      <c r="K36" s="22">
        <f t="shared" si="28"/>
        <v>1959646.03</v>
      </c>
      <c r="L36" s="22">
        <f>L31+L34</f>
        <v>2218915.15</v>
      </c>
      <c r="M36" s="22">
        <f>M31+M34</f>
        <v>2610747.4500000002</v>
      </c>
      <c r="N36" s="22">
        <f t="shared" ref="N36:S36" si="29">N31+N34</f>
        <v>2662962.3989999997</v>
      </c>
      <c r="O36" s="22">
        <f t="shared" si="29"/>
        <v>2716221.6469799997</v>
      </c>
      <c r="P36" s="22">
        <f t="shared" si="29"/>
        <v>2770546.0799195999</v>
      </c>
      <c r="Q36" s="22">
        <f t="shared" si="29"/>
        <v>2825957.001517992</v>
      </c>
      <c r="R36" s="22">
        <f t="shared" si="29"/>
        <v>2882476.1415483519</v>
      </c>
      <c r="S36" s="22">
        <f t="shared" si="29"/>
        <v>2911300.9029638353</v>
      </c>
    </row>
    <row r="40" spans="1:19" ht="15.6" x14ac:dyDescent="0.3">
      <c r="J40" s="108" t="s">
        <v>173</v>
      </c>
      <c r="K40" s="108"/>
      <c r="L40" s="108"/>
      <c r="M40" s="108"/>
      <c r="N40" s="108"/>
      <c r="P40" s="57"/>
    </row>
    <row r="41" spans="1:19" x14ac:dyDescent="0.25">
      <c r="J41" s="86"/>
      <c r="K41" s="68"/>
      <c r="L41" s="68"/>
      <c r="M41" s="71"/>
      <c r="N41" s="68"/>
    </row>
    <row r="42" spans="1:19" x14ac:dyDescent="0.25">
      <c r="J42" s="86" t="s">
        <v>47</v>
      </c>
      <c r="K42" s="68"/>
      <c r="L42" s="68"/>
      <c r="M42" s="77">
        <f>M9/$M$8</f>
        <v>0.52680203990925767</v>
      </c>
      <c r="N42" s="68"/>
    </row>
    <row r="43" spans="1:19" x14ac:dyDescent="0.25">
      <c r="J43" s="87"/>
      <c r="K43" s="68"/>
      <c r="L43" s="68"/>
      <c r="M43" s="77"/>
      <c r="N43" s="68"/>
      <c r="O43" s="57"/>
    </row>
    <row r="44" spans="1:19" x14ac:dyDescent="0.25">
      <c r="J44" s="86" t="s">
        <v>49</v>
      </c>
      <c r="K44" s="68"/>
      <c r="L44" s="68"/>
      <c r="M44" s="77">
        <f t="shared" ref="M44:M53" si="30">M11/$M$8</f>
        <v>0.21188763377542555</v>
      </c>
      <c r="N44" s="68"/>
    </row>
    <row r="45" spans="1:19" x14ac:dyDescent="0.25">
      <c r="J45" s="86" t="s">
        <v>50</v>
      </c>
      <c r="K45" s="68"/>
      <c r="L45" s="68"/>
      <c r="M45" s="77">
        <f t="shared" si="30"/>
        <v>2.591887014257744E-3</v>
      </c>
      <c r="N45" s="68"/>
    </row>
    <row r="46" spans="1:19" x14ac:dyDescent="0.25">
      <c r="J46" s="87"/>
      <c r="K46" s="68"/>
      <c r="L46" s="68"/>
      <c r="M46" s="77"/>
      <c r="N46" s="68"/>
    </row>
    <row r="47" spans="1:19" x14ac:dyDescent="0.25">
      <c r="J47" s="86" t="s">
        <v>52</v>
      </c>
      <c r="K47" s="68"/>
      <c r="L47" s="68"/>
      <c r="M47" s="77">
        <f t="shared" si="30"/>
        <v>-1.4787637105109924E-2</v>
      </c>
      <c r="N47" s="68"/>
    </row>
    <row r="48" spans="1:19" x14ac:dyDescent="0.25">
      <c r="J48" s="86" t="s">
        <v>53</v>
      </c>
      <c r="K48" s="68"/>
      <c r="L48" s="68"/>
      <c r="M48" s="77">
        <f t="shared" si="30"/>
        <v>-2.3088281358864721E-2</v>
      </c>
      <c r="N48" s="68"/>
    </row>
    <row r="49" spans="10:14" x14ac:dyDescent="0.25">
      <c r="J49" s="87"/>
      <c r="K49" s="68"/>
      <c r="L49" s="68"/>
      <c r="M49" s="77"/>
      <c r="N49" s="68"/>
    </row>
    <row r="50" spans="10:14" x14ac:dyDescent="0.25">
      <c r="J50" s="86" t="s">
        <v>55</v>
      </c>
      <c r="K50" s="68"/>
      <c r="L50" s="68"/>
      <c r="M50" s="77">
        <f>M17/$M$8</f>
        <v>2.2557674284204896E-2</v>
      </c>
      <c r="N50" s="68"/>
    </row>
    <row r="51" spans="10:14" x14ac:dyDescent="0.25">
      <c r="J51" s="87"/>
      <c r="K51" s="68"/>
      <c r="L51" s="68"/>
      <c r="M51" s="77"/>
      <c r="N51" s="68"/>
    </row>
    <row r="52" spans="10:14" x14ac:dyDescent="0.25">
      <c r="J52" s="86"/>
      <c r="K52" s="68"/>
      <c r="L52" s="68"/>
      <c r="M52" s="77"/>
      <c r="N52" s="68"/>
    </row>
    <row r="53" spans="10:14" x14ac:dyDescent="0.25">
      <c r="J53" s="87"/>
      <c r="K53" s="68"/>
      <c r="L53" s="68"/>
      <c r="M53" s="77"/>
      <c r="N53" s="68"/>
    </row>
    <row r="55" spans="10:14" ht="17.399999999999999" x14ac:dyDescent="0.3">
      <c r="J55" s="21"/>
    </row>
    <row r="56" spans="10:14" ht="17.399999999999999" x14ac:dyDescent="0.3">
      <c r="J56" s="21"/>
    </row>
    <row r="57" spans="10:14" ht="17.399999999999999" x14ac:dyDescent="0.3">
      <c r="J57" s="21"/>
    </row>
    <row r="58" spans="10:14" ht="17.399999999999999" x14ac:dyDescent="0.3">
      <c r="J58" s="21"/>
    </row>
    <row r="59" spans="10:14" ht="17.399999999999999" x14ac:dyDescent="0.3">
      <c r="J59" s="21"/>
    </row>
    <row r="60" spans="10:14" ht="17.399999999999999" x14ac:dyDescent="0.3">
      <c r="J60" s="21"/>
    </row>
  </sheetData>
  <sheetProtection formatCells="0" formatColumns="0" formatRows="0" insertColumns="0" insertRows="0" insertHyperlinks="0" deleteColumns="0" deleteRows="0" sort="0" autoFilter="0" pivotTables="0"/>
  <mergeCells count="1">
    <mergeCell ref="J40:N40"/>
  </mergeCells>
  <pageMargins left="0.7" right="0.7" top="0.75" bottom="0.75" header="0.3" footer="0.3"/>
  <ignoredErrors>
    <ignoredError sqref="M16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50F25-376C-4291-8594-56D1B76F1D7D}">
  <dimension ref="A1:AKP33"/>
  <sheetViews>
    <sheetView topLeftCell="C3" zoomScale="80" workbookViewId="0">
      <selection activeCell="C9" sqref="C9"/>
    </sheetView>
  </sheetViews>
  <sheetFormatPr defaultRowHeight="13.2" x14ac:dyDescent="0.25"/>
  <cols>
    <col min="1" max="1" width="26.5546875" customWidth="1"/>
    <col min="2" max="2" width="22.44140625" customWidth="1"/>
    <col min="3" max="3" width="178.44140625" customWidth="1"/>
    <col min="4" max="4" width="30" customWidth="1"/>
    <col min="5" max="5" width="20.5546875" customWidth="1"/>
    <col min="6" max="6" width="18.77734375" customWidth="1"/>
    <col min="7" max="7" width="20.33203125" customWidth="1"/>
    <col min="8" max="8" width="16" customWidth="1"/>
    <col min="9" max="9" width="26.6640625" customWidth="1"/>
  </cols>
  <sheetData>
    <row r="1" spans="1:978" ht="20.399999999999999" x14ac:dyDescent="0.45">
      <c r="A1" s="109" t="s">
        <v>170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1:978" ht="14.4" x14ac:dyDescent="0.3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978" ht="16.8" x14ac:dyDescent="0.4">
      <c r="A3" s="120" t="s">
        <v>150</v>
      </c>
      <c r="B3" s="117" t="s">
        <v>151</v>
      </c>
      <c r="C3" s="121" t="s">
        <v>152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978" ht="14.4" x14ac:dyDescent="0.3">
      <c r="A4" s="83" t="s">
        <v>162</v>
      </c>
      <c r="B4" s="100" t="s">
        <v>153</v>
      </c>
      <c r="C4" s="119" t="s">
        <v>121</v>
      </c>
      <c r="D4" s="91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978" ht="14.4" x14ac:dyDescent="0.3">
      <c r="A5" s="83" t="s">
        <v>161</v>
      </c>
      <c r="B5" s="83">
        <v>0.77</v>
      </c>
      <c r="C5" s="118" t="s">
        <v>148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</row>
    <row r="6" spans="1:978" ht="14.4" x14ac:dyDescent="0.3">
      <c r="A6" s="83" t="s">
        <v>163</v>
      </c>
      <c r="B6" s="85">
        <v>4.4299999999999999E-2</v>
      </c>
      <c r="C6" s="92" t="s">
        <v>120</v>
      </c>
      <c r="D6" s="93"/>
      <c r="E6" s="9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</row>
    <row r="7" spans="1:978" ht="14.4" x14ac:dyDescent="0.3">
      <c r="A7" s="83" t="s">
        <v>160</v>
      </c>
      <c r="B7" s="94">
        <v>0.21</v>
      </c>
      <c r="C7" s="118" t="s">
        <v>174</v>
      </c>
      <c r="D7" s="95"/>
      <c r="E7" s="95"/>
      <c r="F7" s="95"/>
      <c r="G7" s="95"/>
      <c r="H7" s="95"/>
      <c r="I7" s="95"/>
      <c r="J7" s="95"/>
      <c r="K7" s="95"/>
      <c r="L7" s="83"/>
      <c r="M7" s="83"/>
      <c r="N7" s="83"/>
      <c r="O7" s="83"/>
      <c r="P7" s="83"/>
      <c r="Q7" s="83"/>
      <c r="R7" s="83"/>
      <c r="S7" s="83"/>
    </row>
    <row r="8" spans="1:978" ht="14.4" x14ac:dyDescent="0.3">
      <c r="A8" s="83" t="s">
        <v>159</v>
      </c>
      <c r="B8" s="83">
        <v>0.28000000000000003</v>
      </c>
      <c r="C8" s="119" t="s">
        <v>166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spans="1:978" ht="14.4" x14ac:dyDescent="0.3">
      <c r="A9" s="83" t="s">
        <v>158</v>
      </c>
      <c r="B9" s="94">
        <v>0.05</v>
      </c>
      <c r="C9" s="118" t="s">
        <v>164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spans="1:978" ht="14.4" x14ac:dyDescent="0.3">
      <c r="D10" s="91"/>
      <c r="E10" s="91"/>
      <c r="F10" s="83"/>
      <c r="G10" s="85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</row>
    <row r="11" spans="1:978" ht="13.2" customHeight="1" x14ac:dyDescent="0.3">
      <c r="A11" s="83" t="s">
        <v>156</v>
      </c>
      <c r="B11" s="85">
        <v>5.8299999999999998E-2</v>
      </c>
      <c r="C11" s="83" t="s">
        <v>122</v>
      </c>
      <c r="D11" s="83"/>
      <c r="E11" s="83"/>
      <c r="F11" s="83"/>
      <c r="G11" s="83"/>
      <c r="H11" s="83"/>
      <c r="J11" s="83"/>
      <c r="K11" s="83"/>
      <c r="L11" s="83"/>
      <c r="M11" s="83"/>
      <c r="N11" s="83"/>
      <c r="O11" s="83"/>
      <c r="P11" s="83"/>
      <c r="Q11" s="83"/>
      <c r="R11" s="83"/>
      <c r="S11" s="83"/>
    </row>
    <row r="12" spans="1:978" ht="13.2" customHeight="1" x14ac:dyDescent="0.3">
      <c r="A12" s="83" t="s">
        <v>157</v>
      </c>
      <c r="B12" s="85">
        <v>5.1999999999999998E-2</v>
      </c>
      <c r="C12" s="83" t="s">
        <v>123</v>
      </c>
      <c r="D12" s="83"/>
      <c r="E12" s="83"/>
      <c r="F12" s="83"/>
      <c r="G12" s="83"/>
      <c r="H12" s="83"/>
      <c r="J12" s="83"/>
      <c r="K12" s="83"/>
      <c r="L12" s="83"/>
      <c r="M12" s="83"/>
      <c r="N12" s="83"/>
      <c r="O12" s="83"/>
      <c r="P12" s="83"/>
      <c r="Q12" s="83"/>
      <c r="R12" s="83"/>
      <c r="S12" s="83"/>
    </row>
    <row r="13" spans="1:978" ht="14.4" x14ac:dyDescent="0.3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</row>
    <row r="14" spans="1:978" s="101" customFormat="1" ht="14.4" x14ac:dyDescent="0.3">
      <c r="A14" s="117" t="s">
        <v>155</v>
      </c>
      <c r="B14" s="117">
        <v>2024</v>
      </c>
      <c r="C14" s="117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115"/>
      <c r="R14" s="115"/>
      <c r="S14" s="115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  <c r="IW14" s="116"/>
      <c r="IX14" s="116"/>
      <c r="IY14" s="116"/>
      <c r="IZ14" s="116"/>
      <c r="JA14" s="116"/>
      <c r="JB14" s="116"/>
      <c r="JC14" s="116"/>
      <c r="JD14" s="116"/>
      <c r="JE14" s="116"/>
      <c r="JF14" s="116"/>
      <c r="JG14" s="116"/>
      <c r="JH14" s="116"/>
      <c r="JI14" s="116"/>
      <c r="JJ14" s="116"/>
      <c r="JK14" s="116"/>
      <c r="JL14" s="116"/>
      <c r="JM14" s="116"/>
      <c r="JN14" s="116"/>
      <c r="JO14" s="116"/>
      <c r="JP14" s="116"/>
      <c r="JQ14" s="116"/>
      <c r="JR14" s="116"/>
      <c r="JS14" s="116"/>
      <c r="JT14" s="116"/>
      <c r="JU14" s="116"/>
      <c r="JV14" s="116"/>
      <c r="JW14" s="116"/>
      <c r="JX14" s="116"/>
      <c r="JY14" s="116"/>
      <c r="JZ14" s="116"/>
      <c r="KA14" s="116"/>
      <c r="KB14" s="116"/>
      <c r="KC14" s="116"/>
      <c r="KD14" s="116"/>
      <c r="KE14" s="116"/>
      <c r="KF14" s="116"/>
      <c r="KG14" s="116"/>
      <c r="KH14" s="116"/>
      <c r="KI14" s="116"/>
      <c r="KJ14" s="116"/>
      <c r="KK14" s="116"/>
      <c r="KL14" s="116"/>
      <c r="KM14" s="116"/>
      <c r="KN14" s="116"/>
      <c r="KO14" s="116"/>
      <c r="KP14" s="116"/>
      <c r="KQ14" s="116"/>
      <c r="KR14" s="116"/>
      <c r="KS14" s="116"/>
      <c r="KT14" s="116"/>
      <c r="KU14" s="116"/>
      <c r="KV14" s="116"/>
      <c r="KW14" s="116"/>
      <c r="KX14" s="116"/>
      <c r="KY14" s="116"/>
      <c r="KZ14" s="116"/>
      <c r="LA14" s="116"/>
      <c r="LB14" s="116"/>
      <c r="LC14" s="116"/>
      <c r="LD14" s="116"/>
      <c r="LE14" s="116"/>
      <c r="LF14" s="116"/>
      <c r="LG14" s="116"/>
      <c r="LH14" s="116"/>
      <c r="LI14" s="116"/>
      <c r="LJ14" s="116"/>
      <c r="LK14" s="116"/>
      <c r="LL14" s="116"/>
      <c r="LM14" s="116"/>
      <c r="LN14" s="116"/>
      <c r="LO14" s="116"/>
      <c r="LP14" s="116"/>
      <c r="LQ14" s="116"/>
      <c r="LR14" s="116"/>
      <c r="LS14" s="116"/>
      <c r="LT14" s="116"/>
      <c r="LU14" s="116"/>
      <c r="LV14" s="116"/>
      <c r="LW14" s="116"/>
      <c r="LX14" s="116"/>
      <c r="LY14" s="116"/>
      <c r="LZ14" s="116"/>
      <c r="MA14" s="116"/>
      <c r="MB14" s="116"/>
      <c r="MC14" s="116"/>
      <c r="MD14" s="116"/>
      <c r="ME14" s="116"/>
      <c r="MF14" s="116"/>
      <c r="MG14" s="116"/>
      <c r="MH14" s="116"/>
      <c r="MI14" s="116"/>
      <c r="MJ14" s="116"/>
      <c r="MK14" s="116"/>
      <c r="ML14" s="116"/>
      <c r="MM14" s="116"/>
      <c r="MN14" s="116"/>
      <c r="MO14" s="116"/>
      <c r="MP14" s="116"/>
      <c r="MQ14" s="116"/>
      <c r="MR14" s="116"/>
      <c r="MS14" s="116"/>
      <c r="MT14" s="116"/>
      <c r="MU14" s="116"/>
      <c r="MV14" s="116"/>
      <c r="MW14" s="116"/>
      <c r="MX14" s="116"/>
      <c r="MY14" s="116"/>
      <c r="MZ14" s="116"/>
      <c r="NA14" s="116"/>
      <c r="NB14" s="116"/>
      <c r="NC14" s="116"/>
      <c r="ND14" s="116"/>
      <c r="NE14" s="116"/>
      <c r="NF14" s="116"/>
      <c r="NG14" s="116"/>
      <c r="NH14" s="116"/>
      <c r="NI14" s="116"/>
      <c r="NJ14" s="116"/>
      <c r="NK14" s="116"/>
      <c r="NL14" s="116"/>
      <c r="NM14" s="116"/>
      <c r="NN14" s="116"/>
      <c r="NO14" s="116"/>
      <c r="NP14" s="116"/>
      <c r="NQ14" s="116"/>
      <c r="NR14" s="116"/>
      <c r="NS14" s="116"/>
      <c r="NT14" s="116"/>
      <c r="NU14" s="116"/>
      <c r="NV14" s="116"/>
      <c r="NW14" s="116"/>
      <c r="NX14" s="116"/>
      <c r="NY14" s="116"/>
      <c r="NZ14" s="116"/>
      <c r="OA14" s="116"/>
      <c r="OB14" s="116"/>
      <c r="OC14" s="116"/>
      <c r="OD14" s="116"/>
      <c r="OE14" s="116"/>
      <c r="OF14" s="116"/>
      <c r="OG14" s="116"/>
      <c r="OH14" s="116"/>
      <c r="OI14" s="116"/>
      <c r="OJ14" s="116"/>
      <c r="OK14" s="116"/>
      <c r="OL14" s="116"/>
      <c r="OM14" s="116"/>
      <c r="ON14" s="116"/>
      <c r="OO14" s="116"/>
      <c r="OP14" s="116"/>
      <c r="OQ14" s="116"/>
      <c r="OR14" s="116"/>
      <c r="OS14" s="116"/>
      <c r="OT14" s="116"/>
      <c r="OU14" s="116"/>
      <c r="OV14" s="116"/>
      <c r="OW14" s="116"/>
      <c r="OX14" s="116"/>
      <c r="OY14" s="116"/>
      <c r="OZ14" s="116"/>
      <c r="PA14" s="116"/>
      <c r="PB14" s="116"/>
      <c r="PC14" s="116"/>
      <c r="PD14" s="116"/>
      <c r="PE14" s="116"/>
      <c r="PF14" s="116"/>
      <c r="PG14" s="116"/>
      <c r="PH14" s="116"/>
      <c r="PI14" s="116"/>
      <c r="PJ14" s="116"/>
      <c r="PK14" s="116"/>
      <c r="PL14" s="116"/>
      <c r="PM14" s="116"/>
      <c r="PN14" s="116"/>
      <c r="PO14" s="116"/>
      <c r="PP14" s="116"/>
      <c r="PQ14" s="116"/>
      <c r="PR14" s="116"/>
      <c r="PS14" s="116"/>
      <c r="PT14" s="116"/>
      <c r="PU14" s="116"/>
      <c r="PV14" s="116"/>
      <c r="PW14" s="116"/>
      <c r="PX14" s="116"/>
      <c r="PY14" s="116"/>
      <c r="PZ14" s="116"/>
      <c r="QA14" s="116"/>
      <c r="QB14" s="116"/>
      <c r="QC14" s="116"/>
      <c r="QD14" s="116"/>
      <c r="QE14" s="116"/>
      <c r="QF14" s="116"/>
      <c r="QG14" s="116"/>
      <c r="QH14" s="116"/>
      <c r="QI14" s="116"/>
      <c r="QJ14" s="116"/>
      <c r="QK14" s="116"/>
      <c r="QL14" s="116"/>
      <c r="QM14" s="116"/>
      <c r="QN14" s="116"/>
      <c r="QO14" s="116"/>
      <c r="QP14" s="116"/>
      <c r="QQ14" s="116"/>
      <c r="QR14" s="116"/>
      <c r="QS14" s="116"/>
      <c r="QT14" s="116"/>
      <c r="QU14" s="116"/>
      <c r="QV14" s="116"/>
      <c r="QW14" s="116"/>
      <c r="QX14" s="116"/>
      <c r="QY14" s="116"/>
      <c r="QZ14" s="116"/>
      <c r="RA14" s="116"/>
      <c r="RB14" s="116"/>
      <c r="RC14" s="116"/>
      <c r="RD14" s="116"/>
      <c r="RE14" s="116"/>
      <c r="RF14" s="116"/>
      <c r="RG14" s="116"/>
      <c r="RH14" s="116"/>
      <c r="RI14" s="116"/>
      <c r="RJ14" s="116"/>
      <c r="RK14" s="116"/>
      <c r="RL14" s="116"/>
      <c r="RM14" s="116"/>
      <c r="RN14" s="116"/>
      <c r="RO14" s="116"/>
      <c r="RP14" s="116"/>
      <c r="RQ14" s="116"/>
      <c r="RR14" s="116"/>
      <c r="RS14" s="116"/>
      <c r="RT14" s="116"/>
      <c r="RU14" s="116"/>
      <c r="RV14" s="116"/>
      <c r="RW14" s="116"/>
      <c r="RX14" s="116"/>
      <c r="RY14" s="116"/>
      <c r="RZ14" s="116"/>
      <c r="SA14" s="116"/>
      <c r="SB14" s="116"/>
      <c r="SC14" s="116"/>
      <c r="SD14" s="116"/>
      <c r="SE14" s="116"/>
      <c r="SF14" s="116"/>
      <c r="SG14" s="116"/>
      <c r="SH14" s="116"/>
      <c r="SI14" s="116"/>
      <c r="SJ14" s="116"/>
      <c r="SK14" s="116"/>
      <c r="SL14" s="116"/>
      <c r="SM14" s="116"/>
      <c r="SN14" s="116"/>
      <c r="SO14" s="116"/>
      <c r="SP14" s="116"/>
      <c r="SQ14" s="116"/>
      <c r="SR14" s="116"/>
      <c r="SS14" s="116"/>
      <c r="ST14" s="116"/>
      <c r="SU14" s="116"/>
      <c r="SV14" s="116"/>
      <c r="SW14" s="116"/>
      <c r="SX14" s="116"/>
      <c r="SY14" s="116"/>
      <c r="SZ14" s="116"/>
      <c r="TA14" s="116"/>
      <c r="TB14" s="116"/>
      <c r="TC14" s="116"/>
      <c r="TD14" s="116"/>
      <c r="TE14" s="116"/>
      <c r="TF14" s="116"/>
      <c r="TG14" s="116"/>
      <c r="TH14" s="116"/>
      <c r="TI14" s="116"/>
      <c r="TJ14" s="116"/>
      <c r="TK14" s="116"/>
      <c r="TL14" s="116"/>
      <c r="TM14" s="116"/>
      <c r="TN14" s="116"/>
      <c r="TO14" s="116"/>
      <c r="TP14" s="116"/>
      <c r="TQ14" s="116"/>
      <c r="TR14" s="116"/>
      <c r="TS14" s="116"/>
      <c r="TT14" s="116"/>
      <c r="TU14" s="116"/>
      <c r="TV14" s="116"/>
      <c r="TW14" s="116"/>
      <c r="TX14" s="116"/>
      <c r="TY14" s="116"/>
      <c r="TZ14" s="116"/>
      <c r="UA14" s="116"/>
      <c r="UB14" s="116"/>
      <c r="UC14" s="116"/>
      <c r="UD14" s="116"/>
      <c r="UE14" s="116"/>
      <c r="UF14" s="116"/>
      <c r="UG14" s="116"/>
      <c r="UH14" s="116"/>
      <c r="UI14" s="116"/>
      <c r="UJ14" s="116"/>
      <c r="UK14" s="116"/>
      <c r="UL14" s="116"/>
      <c r="UM14" s="116"/>
      <c r="UN14" s="116"/>
      <c r="UO14" s="116"/>
      <c r="UP14" s="116"/>
      <c r="UQ14" s="116"/>
      <c r="UR14" s="116"/>
      <c r="US14" s="116"/>
      <c r="UT14" s="116"/>
      <c r="UU14" s="116"/>
      <c r="UV14" s="116"/>
      <c r="UW14" s="116"/>
      <c r="UX14" s="116"/>
      <c r="UY14" s="116"/>
      <c r="UZ14" s="116"/>
      <c r="VA14" s="116"/>
      <c r="VB14" s="116"/>
      <c r="VC14" s="116"/>
      <c r="VD14" s="116"/>
      <c r="VE14" s="116"/>
      <c r="VF14" s="116"/>
      <c r="VG14" s="116"/>
      <c r="VH14" s="116"/>
      <c r="VI14" s="116"/>
      <c r="VJ14" s="116"/>
      <c r="VK14" s="116"/>
      <c r="VL14" s="116"/>
      <c r="VM14" s="116"/>
      <c r="VN14" s="116"/>
      <c r="VO14" s="116"/>
      <c r="VP14" s="116"/>
      <c r="VQ14" s="116"/>
      <c r="VR14" s="116"/>
      <c r="VS14" s="116"/>
      <c r="VT14" s="116"/>
      <c r="VU14" s="116"/>
      <c r="VV14" s="116"/>
      <c r="VW14" s="116"/>
      <c r="VX14" s="116"/>
      <c r="VY14" s="116"/>
      <c r="VZ14" s="116"/>
      <c r="WA14" s="116"/>
      <c r="WB14" s="116"/>
      <c r="WC14" s="116"/>
      <c r="WD14" s="116"/>
      <c r="WE14" s="116"/>
      <c r="WF14" s="116"/>
      <c r="WG14" s="116"/>
      <c r="WH14" s="116"/>
      <c r="WI14" s="116"/>
      <c r="WJ14" s="116"/>
      <c r="WK14" s="116"/>
      <c r="WL14" s="116"/>
      <c r="WM14" s="116"/>
      <c r="WN14" s="116"/>
      <c r="WO14" s="116"/>
      <c r="WP14" s="116"/>
      <c r="WQ14" s="116"/>
      <c r="WR14" s="116"/>
      <c r="WS14" s="116"/>
      <c r="WT14" s="116"/>
      <c r="WU14" s="116"/>
      <c r="WV14" s="116"/>
      <c r="WW14" s="116"/>
      <c r="WX14" s="116"/>
      <c r="WY14" s="116"/>
      <c r="WZ14" s="116"/>
      <c r="XA14" s="116"/>
      <c r="XB14" s="116"/>
      <c r="XC14" s="116"/>
      <c r="XD14" s="116"/>
      <c r="XE14" s="116"/>
      <c r="XF14" s="116"/>
      <c r="XG14" s="116"/>
      <c r="XH14" s="116"/>
      <c r="XI14" s="116"/>
      <c r="XJ14" s="116"/>
      <c r="XK14" s="116"/>
      <c r="XL14" s="116"/>
      <c r="XM14" s="116"/>
      <c r="XN14" s="116"/>
      <c r="XO14" s="116"/>
      <c r="XP14" s="116"/>
      <c r="XQ14" s="116"/>
      <c r="XR14" s="116"/>
      <c r="XS14" s="116"/>
      <c r="XT14" s="116"/>
      <c r="XU14" s="116"/>
      <c r="XV14" s="116"/>
      <c r="XW14" s="116"/>
      <c r="XX14" s="116"/>
      <c r="XY14" s="116"/>
      <c r="XZ14" s="116"/>
      <c r="YA14" s="116"/>
      <c r="YB14" s="116"/>
      <c r="YC14" s="116"/>
      <c r="YD14" s="116"/>
      <c r="YE14" s="116"/>
      <c r="YF14" s="116"/>
      <c r="YG14" s="116"/>
      <c r="YH14" s="116"/>
      <c r="YI14" s="116"/>
      <c r="YJ14" s="116"/>
      <c r="YK14" s="116"/>
      <c r="YL14" s="116"/>
      <c r="YM14" s="116"/>
      <c r="YN14" s="116"/>
      <c r="YO14" s="116"/>
      <c r="YP14" s="116"/>
      <c r="YQ14" s="116"/>
      <c r="YR14" s="116"/>
      <c r="YS14" s="116"/>
      <c r="YT14" s="116"/>
      <c r="YU14" s="116"/>
      <c r="YV14" s="116"/>
      <c r="YW14" s="116"/>
      <c r="YX14" s="116"/>
      <c r="YY14" s="116"/>
      <c r="YZ14" s="116"/>
      <c r="ZA14" s="116"/>
      <c r="ZB14" s="116"/>
      <c r="ZC14" s="116"/>
      <c r="ZD14" s="116"/>
      <c r="ZE14" s="116"/>
      <c r="ZF14" s="116"/>
      <c r="ZG14" s="116"/>
      <c r="ZH14" s="116"/>
      <c r="ZI14" s="116"/>
      <c r="ZJ14" s="116"/>
      <c r="ZK14" s="116"/>
      <c r="ZL14" s="116"/>
      <c r="ZM14" s="116"/>
      <c r="ZN14" s="116"/>
      <c r="ZO14" s="116"/>
      <c r="ZP14" s="116"/>
      <c r="ZQ14" s="116"/>
      <c r="ZR14" s="116"/>
      <c r="ZS14" s="116"/>
      <c r="ZT14" s="116"/>
      <c r="ZU14" s="116"/>
      <c r="ZV14" s="116"/>
      <c r="ZW14" s="116"/>
      <c r="ZX14" s="116"/>
      <c r="ZY14" s="116"/>
      <c r="ZZ14" s="116"/>
      <c r="AAA14" s="116"/>
      <c r="AAB14" s="116"/>
      <c r="AAC14" s="116"/>
      <c r="AAD14" s="116"/>
      <c r="AAE14" s="116"/>
      <c r="AAF14" s="116"/>
      <c r="AAG14" s="116"/>
      <c r="AAH14" s="116"/>
      <c r="AAI14" s="116"/>
      <c r="AAJ14" s="116"/>
      <c r="AAK14" s="116"/>
      <c r="AAL14" s="116"/>
      <c r="AAM14" s="116"/>
      <c r="AAN14" s="116"/>
      <c r="AAO14" s="116"/>
      <c r="AAP14" s="116"/>
      <c r="AAQ14" s="116"/>
      <c r="AAR14" s="116"/>
      <c r="AAS14" s="116"/>
      <c r="AAT14" s="116"/>
      <c r="AAU14" s="116"/>
      <c r="AAV14" s="116"/>
      <c r="AAW14" s="116"/>
      <c r="AAX14" s="116"/>
      <c r="AAY14" s="116"/>
      <c r="AAZ14" s="116"/>
      <c r="ABA14" s="116"/>
      <c r="ABB14" s="116"/>
      <c r="ABC14" s="116"/>
      <c r="ABD14" s="116"/>
      <c r="ABE14" s="116"/>
      <c r="ABF14" s="116"/>
      <c r="ABG14" s="116"/>
      <c r="ABH14" s="116"/>
      <c r="ABI14" s="116"/>
      <c r="ABJ14" s="116"/>
      <c r="ABK14" s="116"/>
      <c r="ABL14" s="116"/>
      <c r="ABM14" s="116"/>
      <c r="ABN14" s="116"/>
      <c r="ABO14" s="116"/>
      <c r="ABP14" s="116"/>
      <c r="ABQ14" s="116"/>
      <c r="ABR14" s="116"/>
      <c r="ABS14" s="116"/>
      <c r="ABT14" s="116"/>
      <c r="ABU14" s="116"/>
      <c r="ABV14" s="116"/>
      <c r="ABW14" s="116"/>
      <c r="ABX14" s="116"/>
      <c r="ABY14" s="116"/>
      <c r="ABZ14" s="116"/>
      <c r="ACA14" s="116"/>
      <c r="ACB14" s="116"/>
      <c r="ACC14" s="116"/>
      <c r="ACD14" s="116"/>
      <c r="ACE14" s="116"/>
      <c r="ACF14" s="116"/>
      <c r="ACG14" s="116"/>
      <c r="ACH14" s="116"/>
      <c r="ACI14" s="116"/>
      <c r="ACJ14" s="116"/>
      <c r="ACK14" s="116"/>
      <c r="ACL14" s="116"/>
      <c r="ACM14" s="116"/>
      <c r="ACN14" s="116"/>
      <c r="ACO14" s="116"/>
      <c r="ACP14" s="116"/>
      <c r="ACQ14" s="116"/>
      <c r="ACR14" s="116"/>
      <c r="ACS14" s="116"/>
      <c r="ACT14" s="116"/>
      <c r="ACU14" s="116"/>
      <c r="ACV14" s="116"/>
      <c r="ACW14" s="116"/>
      <c r="ACX14" s="116"/>
      <c r="ACY14" s="116"/>
      <c r="ACZ14" s="116"/>
      <c r="ADA14" s="116"/>
      <c r="ADB14" s="116"/>
      <c r="ADC14" s="116"/>
      <c r="ADD14" s="116"/>
      <c r="ADE14" s="116"/>
      <c r="ADF14" s="116"/>
      <c r="ADG14" s="116"/>
      <c r="ADH14" s="116"/>
      <c r="ADI14" s="116"/>
      <c r="ADJ14" s="116"/>
      <c r="ADK14" s="116"/>
      <c r="ADL14" s="116"/>
      <c r="ADM14" s="116"/>
      <c r="ADN14" s="116"/>
      <c r="ADO14" s="116"/>
      <c r="ADP14" s="116"/>
      <c r="ADQ14" s="116"/>
      <c r="ADR14" s="116"/>
      <c r="ADS14" s="116"/>
      <c r="ADT14" s="116"/>
      <c r="ADU14" s="116"/>
      <c r="ADV14" s="116"/>
      <c r="ADW14" s="116"/>
      <c r="ADX14" s="116"/>
      <c r="ADY14" s="116"/>
      <c r="ADZ14" s="116"/>
      <c r="AEA14" s="116"/>
      <c r="AEB14" s="116"/>
      <c r="AEC14" s="116"/>
      <c r="AED14" s="116"/>
      <c r="AEE14" s="116"/>
      <c r="AEF14" s="116"/>
      <c r="AEG14" s="116"/>
      <c r="AEH14" s="116"/>
      <c r="AEI14" s="116"/>
      <c r="AEJ14" s="116"/>
      <c r="AEK14" s="116"/>
      <c r="AEL14" s="116"/>
      <c r="AEM14" s="116"/>
      <c r="AEN14" s="116"/>
      <c r="AEO14" s="116"/>
      <c r="AEP14" s="116"/>
      <c r="AEQ14" s="116"/>
      <c r="AER14" s="116"/>
      <c r="AES14" s="116"/>
      <c r="AET14" s="116"/>
      <c r="AEU14" s="116"/>
      <c r="AEV14" s="116"/>
      <c r="AEW14" s="116"/>
      <c r="AEX14" s="116"/>
      <c r="AEY14" s="116"/>
      <c r="AEZ14" s="116"/>
      <c r="AFA14" s="116"/>
      <c r="AFB14" s="116"/>
      <c r="AFC14" s="116"/>
      <c r="AFD14" s="116"/>
      <c r="AFE14" s="116"/>
      <c r="AFF14" s="116"/>
      <c r="AFG14" s="116"/>
      <c r="AFH14" s="116"/>
      <c r="AFI14" s="116"/>
      <c r="AFJ14" s="116"/>
      <c r="AFK14" s="116"/>
      <c r="AFL14" s="116"/>
      <c r="AFM14" s="116"/>
      <c r="AFN14" s="116"/>
      <c r="AFO14" s="116"/>
      <c r="AFP14" s="116"/>
      <c r="AFQ14" s="116"/>
      <c r="AFR14" s="116"/>
      <c r="AFS14" s="116"/>
      <c r="AFT14" s="116"/>
      <c r="AFU14" s="116"/>
      <c r="AFV14" s="116"/>
      <c r="AFW14" s="116"/>
      <c r="AFX14" s="116"/>
      <c r="AFY14" s="116"/>
      <c r="AFZ14" s="116"/>
      <c r="AGA14" s="116"/>
      <c r="AGB14" s="116"/>
      <c r="AGC14" s="116"/>
      <c r="AGD14" s="116"/>
      <c r="AGE14" s="116"/>
      <c r="AGF14" s="116"/>
      <c r="AGG14" s="116"/>
      <c r="AGH14" s="116"/>
      <c r="AGI14" s="116"/>
      <c r="AGJ14" s="116"/>
      <c r="AGK14" s="116"/>
      <c r="AGL14" s="116"/>
      <c r="AGM14" s="116"/>
      <c r="AGN14" s="116"/>
      <c r="AGO14" s="116"/>
      <c r="AGP14" s="116"/>
      <c r="AGQ14" s="116"/>
      <c r="AGR14" s="116"/>
      <c r="AGS14" s="116"/>
      <c r="AGT14" s="116"/>
      <c r="AGU14" s="116"/>
      <c r="AGV14" s="116"/>
      <c r="AGW14" s="116"/>
      <c r="AGX14" s="116"/>
      <c r="AGY14" s="116"/>
      <c r="AGZ14" s="116"/>
      <c r="AHA14" s="116"/>
      <c r="AHB14" s="116"/>
      <c r="AHC14" s="116"/>
      <c r="AHD14" s="116"/>
      <c r="AHE14" s="116"/>
      <c r="AHF14" s="116"/>
      <c r="AHG14" s="116"/>
      <c r="AHH14" s="116"/>
      <c r="AHI14" s="116"/>
      <c r="AHJ14" s="116"/>
      <c r="AHK14" s="116"/>
      <c r="AHL14" s="116"/>
      <c r="AHM14" s="116"/>
      <c r="AHN14" s="116"/>
      <c r="AHO14" s="116"/>
      <c r="AHP14" s="116"/>
      <c r="AHQ14" s="116"/>
      <c r="AHR14" s="116"/>
      <c r="AHS14" s="116"/>
      <c r="AHT14" s="116"/>
      <c r="AHU14" s="116"/>
      <c r="AHV14" s="116"/>
      <c r="AHW14" s="116"/>
      <c r="AHX14" s="116"/>
      <c r="AHY14" s="116"/>
      <c r="AHZ14" s="116"/>
      <c r="AIA14" s="116"/>
      <c r="AIB14" s="116"/>
      <c r="AIC14" s="116"/>
      <c r="AID14" s="116"/>
      <c r="AIE14" s="116"/>
      <c r="AIF14" s="116"/>
      <c r="AIG14" s="116"/>
      <c r="AIH14" s="116"/>
      <c r="AII14" s="116"/>
      <c r="AIJ14" s="116"/>
      <c r="AIK14" s="116"/>
      <c r="AIL14" s="116"/>
      <c r="AIM14" s="116"/>
      <c r="AIN14" s="116"/>
      <c r="AIO14" s="116"/>
      <c r="AIP14" s="116"/>
      <c r="AIQ14" s="116"/>
      <c r="AIR14" s="116"/>
      <c r="AIS14" s="116"/>
      <c r="AIT14" s="116"/>
      <c r="AIU14" s="116"/>
      <c r="AIV14" s="116"/>
      <c r="AIW14" s="116"/>
      <c r="AIX14" s="116"/>
      <c r="AIY14" s="116"/>
      <c r="AIZ14" s="116"/>
      <c r="AJA14" s="116"/>
      <c r="AJB14" s="116"/>
      <c r="AJC14" s="116"/>
      <c r="AJD14" s="116"/>
      <c r="AJE14" s="116"/>
      <c r="AJF14" s="116"/>
      <c r="AJG14" s="116"/>
      <c r="AJH14" s="116"/>
      <c r="AJI14" s="116"/>
      <c r="AJJ14" s="116"/>
      <c r="AJK14" s="116"/>
      <c r="AJL14" s="116"/>
      <c r="AJM14" s="116"/>
      <c r="AJN14" s="116"/>
      <c r="AJO14" s="116"/>
      <c r="AJP14" s="116"/>
      <c r="AJQ14" s="116"/>
      <c r="AJR14" s="116"/>
      <c r="AJS14" s="116"/>
      <c r="AJT14" s="116"/>
      <c r="AJU14" s="116"/>
      <c r="AJV14" s="116"/>
      <c r="AJW14" s="116"/>
      <c r="AJX14" s="116"/>
      <c r="AJY14" s="116"/>
      <c r="AJZ14" s="116"/>
      <c r="AKA14" s="116"/>
      <c r="AKB14" s="116"/>
      <c r="AKC14" s="116"/>
      <c r="AKD14" s="116"/>
      <c r="AKE14" s="116"/>
      <c r="AKF14" s="116"/>
      <c r="AKG14" s="116"/>
      <c r="AKH14" s="116"/>
      <c r="AKI14" s="116"/>
      <c r="AKJ14" s="116"/>
      <c r="AKK14" s="116"/>
      <c r="AKL14" s="116"/>
      <c r="AKM14" s="116"/>
      <c r="AKN14" s="116"/>
      <c r="AKO14" s="116"/>
      <c r="AKP14" s="116"/>
    </row>
    <row r="15" spans="1:978" s="101" customFormat="1" ht="14.4" x14ac:dyDescent="0.3">
      <c r="A15" s="83" t="s">
        <v>133</v>
      </c>
      <c r="B15" s="83">
        <v>202960000</v>
      </c>
      <c r="C15" s="119" t="s">
        <v>149</v>
      </c>
      <c r="D15" s="116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115"/>
      <c r="R15" s="115"/>
      <c r="S15" s="115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  <c r="IW15" s="116"/>
      <c r="IX15" s="116"/>
      <c r="IY15" s="116"/>
      <c r="IZ15" s="116"/>
      <c r="JA15" s="116"/>
      <c r="JB15" s="116"/>
      <c r="JC15" s="116"/>
      <c r="JD15" s="116"/>
      <c r="JE15" s="116"/>
      <c r="JF15" s="116"/>
      <c r="JG15" s="116"/>
      <c r="JH15" s="116"/>
      <c r="JI15" s="116"/>
      <c r="JJ15" s="116"/>
      <c r="JK15" s="116"/>
      <c r="JL15" s="116"/>
      <c r="JM15" s="116"/>
      <c r="JN15" s="116"/>
      <c r="JO15" s="116"/>
      <c r="JP15" s="116"/>
      <c r="JQ15" s="116"/>
      <c r="JR15" s="116"/>
      <c r="JS15" s="116"/>
      <c r="JT15" s="116"/>
      <c r="JU15" s="116"/>
      <c r="JV15" s="116"/>
      <c r="JW15" s="116"/>
      <c r="JX15" s="116"/>
      <c r="JY15" s="116"/>
      <c r="JZ15" s="116"/>
      <c r="KA15" s="116"/>
      <c r="KB15" s="116"/>
      <c r="KC15" s="116"/>
      <c r="KD15" s="116"/>
      <c r="KE15" s="116"/>
      <c r="KF15" s="116"/>
      <c r="KG15" s="116"/>
      <c r="KH15" s="116"/>
      <c r="KI15" s="116"/>
      <c r="KJ15" s="116"/>
      <c r="KK15" s="116"/>
      <c r="KL15" s="116"/>
      <c r="KM15" s="116"/>
      <c r="KN15" s="116"/>
      <c r="KO15" s="116"/>
      <c r="KP15" s="116"/>
      <c r="KQ15" s="116"/>
      <c r="KR15" s="116"/>
      <c r="KS15" s="116"/>
      <c r="KT15" s="116"/>
      <c r="KU15" s="116"/>
      <c r="KV15" s="116"/>
      <c r="KW15" s="116"/>
      <c r="KX15" s="116"/>
      <c r="KY15" s="116"/>
      <c r="KZ15" s="116"/>
      <c r="LA15" s="116"/>
      <c r="LB15" s="116"/>
      <c r="LC15" s="116"/>
      <c r="LD15" s="116"/>
      <c r="LE15" s="116"/>
      <c r="LF15" s="116"/>
      <c r="LG15" s="116"/>
      <c r="LH15" s="116"/>
      <c r="LI15" s="116"/>
      <c r="LJ15" s="116"/>
      <c r="LK15" s="116"/>
      <c r="LL15" s="116"/>
      <c r="LM15" s="116"/>
      <c r="LN15" s="116"/>
      <c r="LO15" s="116"/>
      <c r="LP15" s="116"/>
      <c r="LQ15" s="116"/>
      <c r="LR15" s="116"/>
      <c r="LS15" s="116"/>
      <c r="LT15" s="116"/>
      <c r="LU15" s="116"/>
      <c r="LV15" s="116"/>
      <c r="LW15" s="116"/>
      <c r="LX15" s="116"/>
      <c r="LY15" s="116"/>
      <c r="LZ15" s="116"/>
      <c r="MA15" s="116"/>
      <c r="MB15" s="116"/>
      <c r="MC15" s="116"/>
      <c r="MD15" s="116"/>
      <c r="ME15" s="116"/>
      <c r="MF15" s="116"/>
      <c r="MG15" s="116"/>
      <c r="MH15" s="116"/>
      <c r="MI15" s="116"/>
      <c r="MJ15" s="116"/>
      <c r="MK15" s="116"/>
      <c r="ML15" s="116"/>
      <c r="MM15" s="116"/>
      <c r="MN15" s="116"/>
      <c r="MO15" s="116"/>
      <c r="MP15" s="116"/>
      <c r="MQ15" s="116"/>
      <c r="MR15" s="116"/>
      <c r="MS15" s="116"/>
      <c r="MT15" s="116"/>
      <c r="MU15" s="116"/>
      <c r="MV15" s="116"/>
      <c r="MW15" s="116"/>
      <c r="MX15" s="116"/>
      <c r="MY15" s="116"/>
      <c r="MZ15" s="116"/>
      <c r="NA15" s="116"/>
      <c r="NB15" s="116"/>
      <c r="NC15" s="116"/>
      <c r="ND15" s="116"/>
      <c r="NE15" s="116"/>
      <c r="NF15" s="116"/>
      <c r="NG15" s="116"/>
      <c r="NH15" s="116"/>
      <c r="NI15" s="116"/>
      <c r="NJ15" s="116"/>
      <c r="NK15" s="116"/>
      <c r="NL15" s="116"/>
      <c r="NM15" s="116"/>
      <c r="NN15" s="116"/>
      <c r="NO15" s="116"/>
      <c r="NP15" s="116"/>
      <c r="NQ15" s="116"/>
      <c r="NR15" s="116"/>
      <c r="NS15" s="116"/>
      <c r="NT15" s="116"/>
      <c r="NU15" s="116"/>
      <c r="NV15" s="116"/>
      <c r="NW15" s="116"/>
      <c r="NX15" s="116"/>
      <c r="NY15" s="116"/>
      <c r="NZ15" s="116"/>
      <c r="OA15" s="116"/>
      <c r="OB15" s="116"/>
      <c r="OC15" s="116"/>
      <c r="OD15" s="116"/>
      <c r="OE15" s="116"/>
      <c r="OF15" s="116"/>
      <c r="OG15" s="116"/>
      <c r="OH15" s="116"/>
      <c r="OI15" s="116"/>
      <c r="OJ15" s="116"/>
      <c r="OK15" s="116"/>
      <c r="OL15" s="116"/>
      <c r="OM15" s="116"/>
      <c r="ON15" s="116"/>
      <c r="OO15" s="116"/>
      <c r="OP15" s="116"/>
      <c r="OQ15" s="116"/>
      <c r="OR15" s="116"/>
      <c r="OS15" s="116"/>
      <c r="OT15" s="116"/>
      <c r="OU15" s="116"/>
      <c r="OV15" s="116"/>
      <c r="OW15" s="116"/>
      <c r="OX15" s="116"/>
      <c r="OY15" s="116"/>
      <c r="OZ15" s="116"/>
      <c r="PA15" s="116"/>
      <c r="PB15" s="116"/>
      <c r="PC15" s="116"/>
      <c r="PD15" s="116"/>
      <c r="PE15" s="116"/>
      <c r="PF15" s="116"/>
      <c r="PG15" s="116"/>
      <c r="PH15" s="116"/>
      <c r="PI15" s="116"/>
      <c r="PJ15" s="116"/>
      <c r="PK15" s="116"/>
      <c r="PL15" s="116"/>
      <c r="PM15" s="116"/>
      <c r="PN15" s="116"/>
      <c r="PO15" s="116"/>
      <c r="PP15" s="116"/>
      <c r="PQ15" s="116"/>
      <c r="PR15" s="116"/>
      <c r="PS15" s="116"/>
      <c r="PT15" s="116"/>
      <c r="PU15" s="116"/>
      <c r="PV15" s="116"/>
      <c r="PW15" s="116"/>
      <c r="PX15" s="116"/>
      <c r="PY15" s="116"/>
      <c r="PZ15" s="116"/>
      <c r="QA15" s="116"/>
      <c r="QB15" s="116"/>
      <c r="QC15" s="116"/>
      <c r="QD15" s="116"/>
      <c r="QE15" s="116"/>
      <c r="QF15" s="116"/>
      <c r="QG15" s="116"/>
      <c r="QH15" s="116"/>
      <c r="QI15" s="116"/>
      <c r="QJ15" s="116"/>
      <c r="QK15" s="116"/>
      <c r="QL15" s="116"/>
      <c r="QM15" s="116"/>
      <c r="QN15" s="116"/>
      <c r="QO15" s="116"/>
      <c r="QP15" s="116"/>
      <c r="QQ15" s="116"/>
      <c r="QR15" s="116"/>
      <c r="QS15" s="116"/>
      <c r="QT15" s="116"/>
      <c r="QU15" s="116"/>
      <c r="QV15" s="116"/>
      <c r="QW15" s="116"/>
      <c r="QX15" s="116"/>
      <c r="QY15" s="116"/>
      <c r="QZ15" s="116"/>
      <c r="RA15" s="116"/>
      <c r="RB15" s="116"/>
      <c r="RC15" s="116"/>
      <c r="RD15" s="116"/>
      <c r="RE15" s="116"/>
      <c r="RF15" s="116"/>
      <c r="RG15" s="116"/>
      <c r="RH15" s="116"/>
      <c r="RI15" s="116"/>
      <c r="RJ15" s="116"/>
      <c r="RK15" s="116"/>
      <c r="RL15" s="116"/>
      <c r="RM15" s="116"/>
      <c r="RN15" s="116"/>
      <c r="RO15" s="116"/>
      <c r="RP15" s="116"/>
      <c r="RQ15" s="116"/>
      <c r="RR15" s="116"/>
      <c r="RS15" s="116"/>
      <c r="RT15" s="116"/>
      <c r="RU15" s="116"/>
      <c r="RV15" s="116"/>
      <c r="RW15" s="116"/>
      <c r="RX15" s="116"/>
      <c r="RY15" s="116"/>
      <c r="RZ15" s="116"/>
      <c r="SA15" s="116"/>
      <c r="SB15" s="116"/>
      <c r="SC15" s="116"/>
      <c r="SD15" s="116"/>
      <c r="SE15" s="116"/>
      <c r="SF15" s="116"/>
      <c r="SG15" s="116"/>
      <c r="SH15" s="116"/>
      <c r="SI15" s="116"/>
      <c r="SJ15" s="116"/>
      <c r="SK15" s="116"/>
      <c r="SL15" s="116"/>
      <c r="SM15" s="116"/>
      <c r="SN15" s="116"/>
      <c r="SO15" s="116"/>
      <c r="SP15" s="116"/>
      <c r="SQ15" s="116"/>
      <c r="SR15" s="116"/>
      <c r="SS15" s="116"/>
      <c r="ST15" s="116"/>
      <c r="SU15" s="116"/>
      <c r="SV15" s="116"/>
      <c r="SW15" s="116"/>
      <c r="SX15" s="116"/>
      <c r="SY15" s="116"/>
      <c r="SZ15" s="116"/>
      <c r="TA15" s="116"/>
      <c r="TB15" s="116"/>
      <c r="TC15" s="116"/>
      <c r="TD15" s="116"/>
      <c r="TE15" s="116"/>
      <c r="TF15" s="116"/>
      <c r="TG15" s="116"/>
      <c r="TH15" s="116"/>
      <c r="TI15" s="116"/>
      <c r="TJ15" s="116"/>
      <c r="TK15" s="116"/>
      <c r="TL15" s="116"/>
      <c r="TM15" s="116"/>
      <c r="TN15" s="116"/>
      <c r="TO15" s="116"/>
      <c r="TP15" s="116"/>
      <c r="TQ15" s="116"/>
      <c r="TR15" s="116"/>
      <c r="TS15" s="116"/>
      <c r="TT15" s="116"/>
      <c r="TU15" s="116"/>
      <c r="TV15" s="116"/>
      <c r="TW15" s="116"/>
      <c r="TX15" s="116"/>
      <c r="TY15" s="116"/>
      <c r="TZ15" s="116"/>
      <c r="UA15" s="116"/>
      <c r="UB15" s="116"/>
      <c r="UC15" s="116"/>
      <c r="UD15" s="116"/>
      <c r="UE15" s="116"/>
      <c r="UF15" s="116"/>
      <c r="UG15" s="116"/>
      <c r="UH15" s="116"/>
      <c r="UI15" s="116"/>
      <c r="UJ15" s="116"/>
      <c r="UK15" s="116"/>
      <c r="UL15" s="116"/>
      <c r="UM15" s="116"/>
      <c r="UN15" s="116"/>
      <c r="UO15" s="116"/>
      <c r="UP15" s="116"/>
      <c r="UQ15" s="116"/>
      <c r="UR15" s="116"/>
      <c r="US15" s="116"/>
      <c r="UT15" s="116"/>
      <c r="UU15" s="116"/>
      <c r="UV15" s="116"/>
      <c r="UW15" s="116"/>
      <c r="UX15" s="116"/>
      <c r="UY15" s="116"/>
      <c r="UZ15" s="116"/>
      <c r="VA15" s="116"/>
      <c r="VB15" s="116"/>
      <c r="VC15" s="116"/>
      <c r="VD15" s="116"/>
      <c r="VE15" s="116"/>
      <c r="VF15" s="116"/>
      <c r="VG15" s="116"/>
      <c r="VH15" s="116"/>
      <c r="VI15" s="116"/>
      <c r="VJ15" s="116"/>
      <c r="VK15" s="116"/>
      <c r="VL15" s="116"/>
      <c r="VM15" s="116"/>
      <c r="VN15" s="116"/>
      <c r="VO15" s="116"/>
      <c r="VP15" s="116"/>
      <c r="VQ15" s="116"/>
      <c r="VR15" s="116"/>
      <c r="VS15" s="116"/>
      <c r="VT15" s="116"/>
      <c r="VU15" s="116"/>
      <c r="VV15" s="116"/>
      <c r="VW15" s="116"/>
      <c r="VX15" s="116"/>
      <c r="VY15" s="116"/>
      <c r="VZ15" s="116"/>
      <c r="WA15" s="116"/>
      <c r="WB15" s="116"/>
      <c r="WC15" s="116"/>
      <c r="WD15" s="116"/>
      <c r="WE15" s="116"/>
      <c r="WF15" s="116"/>
      <c r="WG15" s="116"/>
      <c r="WH15" s="116"/>
      <c r="WI15" s="116"/>
      <c r="WJ15" s="116"/>
      <c r="WK15" s="116"/>
      <c r="WL15" s="116"/>
      <c r="WM15" s="116"/>
      <c r="WN15" s="116"/>
      <c r="WO15" s="116"/>
      <c r="WP15" s="116"/>
      <c r="WQ15" s="116"/>
      <c r="WR15" s="116"/>
      <c r="WS15" s="116"/>
      <c r="WT15" s="116"/>
      <c r="WU15" s="116"/>
      <c r="WV15" s="116"/>
      <c r="WW15" s="116"/>
      <c r="WX15" s="116"/>
      <c r="WY15" s="116"/>
      <c r="WZ15" s="116"/>
      <c r="XA15" s="116"/>
      <c r="XB15" s="116"/>
      <c r="XC15" s="116"/>
      <c r="XD15" s="116"/>
      <c r="XE15" s="116"/>
      <c r="XF15" s="116"/>
      <c r="XG15" s="116"/>
      <c r="XH15" s="116"/>
      <c r="XI15" s="116"/>
      <c r="XJ15" s="116"/>
      <c r="XK15" s="116"/>
      <c r="XL15" s="116"/>
      <c r="XM15" s="116"/>
      <c r="XN15" s="116"/>
      <c r="XO15" s="116"/>
      <c r="XP15" s="116"/>
      <c r="XQ15" s="116"/>
      <c r="XR15" s="116"/>
      <c r="XS15" s="116"/>
      <c r="XT15" s="116"/>
      <c r="XU15" s="116"/>
      <c r="XV15" s="116"/>
      <c r="XW15" s="116"/>
      <c r="XX15" s="116"/>
      <c r="XY15" s="116"/>
      <c r="XZ15" s="116"/>
      <c r="YA15" s="116"/>
      <c r="YB15" s="116"/>
      <c r="YC15" s="116"/>
      <c r="YD15" s="116"/>
      <c r="YE15" s="116"/>
      <c r="YF15" s="116"/>
      <c r="YG15" s="116"/>
      <c r="YH15" s="116"/>
      <c r="YI15" s="116"/>
      <c r="YJ15" s="116"/>
      <c r="YK15" s="116"/>
      <c r="YL15" s="116"/>
      <c r="YM15" s="116"/>
      <c r="YN15" s="116"/>
      <c r="YO15" s="116"/>
      <c r="YP15" s="116"/>
      <c r="YQ15" s="116"/>
      <c r="YR15" s="116"/>
      <c r="YS15" s="116"/>
      <c r="YT15" s="116"/>
      <c r="YU15" s="116"/>
      <c r="YV15" s="116"/>
      <c r="YW15" s="116"/>
      <c r="YX15" s="116"/>
      <c r="YY15" s="116"/>
      <c r="YZ15" s="116"/>
      <c r="ZA15" s="116"/>
      <c r="ZB15" s="116"/>
      <c r="ZC15" s="116"/>
      <c r="ZD15" s="116"/>
      <c r="ZE15" s="116"/>
      <c r="ZF15" s="116"/>
      <c r="ZG15" s="116"/>
      <c r="ZH15" s="116"/>
      <c r="ZI15" s="116"/>
      <c r="ZJ15" s="116"/>
      <c r="ZK15" s="116"/>
      <c r="ZL15" s="116"/>
      <c r="ZM15" s="116"/>
      <c r="ZN15" s="116"/>
      <c r="ZO15" s="116"/>
      <c r="ZP15" s="116"/>
      <c r="ZQ15" s="116"/>
      <c r="ZR15" s="116"/>
      <c r="ZS15" s="116"/>
      <c r="ZT15" s="116"/>
      <c r="ZU15" s="116"/>
      <c r="ZV15" s="116"/>
      <c r="ZW15" s="116"/>
      <c r="ZX15" s="116"/>
      <c r="ZY15" s="116"/>
      <c r="ZZ15" s="116"/>
      <c r="AAA15" s="116"/>
      <c r="AAB15" s="116"/>
      <c r="AAC15" s="116"/>
      <c r="AAD15" s="116"/>
      <c r="AAE15" s="116"/>
      <c r="AAF15" s="116"/>
      <c r="AAG15" s="116"/>
      <c r="AAH15" s="116"/>
      <c r="AAI15" s="116"/>
      <c r="AAJ15" s="116"/>
      <c r="AAK15" s="116"/>
      <c r="AAL15" s="116"/>
      <c r="AAM15" s="116"/>
      <c r="AAN15" s="116"/>
      <c r="AAO15" s="116"/>
      <c r="AAP15" s="116"/>
      <c r="AAQ15" s="116"/>
      <c r="AAR15" s="116"/>
      <c r="AAS15" s="116"/>
      <c r="AAT15" s="116"/>
      <c r="AAU15" s="116"/>
      <c r="AAV15" s="116"/>
      <c r="AAW15" s="116"/>
      <c r="AAX15" s="116"/>
      <c r="AAY15" s="116"/>
      <c r="AAZ15" s="116"/>
      <c r="ABA15" s="116"/>
      <c r="ABB15" s="116"/>
      <c r="ABC15" s="116"/>
      <c r="ABD15" s="116"/>
      <c r="ABE15" s="116"/>
      <c r="ABF15" s="116"/>
      <c r="ABG15" s="116"/>
      <c r="ABH15" s="116"/>
      <c r="ABI15" s="116"/>
      <c r="ABJ15" s="116"/>
      <c r="ABK15" s="116"/>
      <c r="ABL15" s="116"/>
      <c r="ABM15" s="116"/>
      <c r="ABN15" s="116"/>
      <c r="ABO15" s="116"/>
      <c r="ABP15" s="116"/>
      <c r="ABQ15" s="116"/>
      <c r="ABR15" s="116"/>
      <c r="ABS15" s="116"/>
      <c r="ABT15" s="116"/>
      <c r="ABU15" s="116"/>
      <c r="ABV15" s="116"/>
      <c r="ABW15" s="116"/>
      <c r="ABX15" s="116"/>
      <c r="ABY15" s="116"/>
      <c r="ABZ15" s="116"/>
      <c r="ACA15" s="116"/>
      <c r="ACB15" s="116"/>
      <c r="ACC15" s="116"/>
      <c r="ACD15" s="116"/>
      <c r="ACE15" s="116"/>
      <c r="ACF15" s="116"/>
      <c r="ACG15" s="116"/>
      <c r="ACH15" s="116"/>
      <c r="ACI15" s="116"/>
      <c r="ACJ15" s="116"/>
      <c r="ACK15" s="116"/>
      <c r="ACL15" s="116"/>
      <c r="ACM15" s="116"/>
      <c r="ACN15" s="116"/>
      <c r="ACO15" s="116"/>
      <c r="ACP15" s="116"/>
      <c r="ACQ15" s="116"/>
      <c r="ACR15" s="116"/>
      <c r="ACS15" s="116"/>
      <c r="ACT15" s="116"/>
      <c r="ACU15" s="116"/>
      <c r="ACV15" s="116"/>
      <c r="ACW15" s="116"/>
      <c r="ACX15" s="116"/>
      <c r="ACY15" s="116"/>
      <c r="ACZ15" s="116"/>
      <c r="ADA15" s="116"/>
      <c r="ADB15" s="116"/>
      <c r="ADC15" s="116"/>
      <c r="ADD15" s="116"/>
      <c r="ADE15" s="116"/>
      <c r="ADF15" s="116"/>
      <c r="ADG15" s="116"/>
      <c r="ADH15" s="116"/>
      <c r="ADI15" s="116"/>
      <c r="ADJ15" s="116"/>
      <c r="ADK15" s="116"/>
      <c r="ADL15" s="116"/>
      <c r="ADM15" s="116"/>
      <c r="ADN15" s="116"/>
      <c r="ADO15" s="116"/>
      <c r="ADP15" s="116"/>
      <c r="ADQ15" s="116"/>
      <c r="ADR15" s="116"/>
      <c r="ADS15" s="116"/>
      <c r="ADT15" s="116"/>
      <c r="ADU15" s="116"/>
      <c r="ADV15" s="116"/>
      <c r="ADW15" s="116"/>
      <c r="ADX15" s="116"/>
      <c r="ADY15" s="116"/>
      <c r="ADZ15" s="116"/>
      <c r="AEA15" s="116"/>
      <c r="AEB15" s="116"/>
      <c r="AEC15" s="116"/>
      <c r="AED15" s="116"/>
      <c r="AEE15" s="116"/>
      <c r="AEF15" s="116"/>
      <c r="AEG15" s="116"/>
      <c r="AEH15" s="116"/>
      <c r="AEI15" s="116"/>
      <c r="AEJ15" s="116"/>
      <c r="AEK15" s="116"/>
      <c r="AEL15" s="116"/>
      <c r="AEM15" s="116"/>
      <c r="AEN15" s="116"/>
      <c r="AEO15" s="116"/>
      <c r="AEP15" s="116"/>
      <c r="AEQ15" s="116"/>
      <c r="AER15" s="116"/>
      <c r="AES15" s="116"/>
      <c r="AET15" s="116"/>
      <c r="AEU15" s="116"/>
      <c r="AEV15" s="116"/>
      <c r="AEW15" s="116"/>
      <c r="AEX15" s="116"/>
      <c r="AEY15" s="116"/>
      <c r="AEZ15" s="116"/>
      <c r="AFA15" s="116"/>
      <c r="AFB15" s="116"/>
      <c r="AFC15" s="116"/>
      <c r="AFD15" s="116"/>
      <c r="AFE15" s="116"/>
      <c r="AFF15" s="116"/>
      <c r="AFG15" s="116"/>
      <c r="AFH15" s="116"/>
      <c r="AFI15" s="116"/>
      <c r="AFJ15" s="116"/>
      <c r="AFK15" s="116"/>
      <c r="AFL15" s="116"/>
      <c r="AFM15" s="116"/>
      <c r="AFN15" s="116"/>
      <c r="AFO15" s="116"/>
      <c r="AFP15" s="116"/>
      <c r="AFQ15" s="116"/>
      <c r="AFR15" s="116"/>
      <c r="AFS15" s="116"/>
      <c r="AFT15" s="116"/>
      <c r="AFU15" s="116"/>
      <c r="AFV15" s="116"/>
      <c r="AFW15" s="116"/>
      <c r="AFX15" s="116"/>
      <c r="AFY15" s="116"/>
      <c r="AFZ15" s="116"/>
      <c r="AGA15" s="116"/>
      <c r="AGB15" s="116"/>
      <c r="AGC15" s="116"/>
      <c r="AGD15" s="116"/>
      <c r="AGE15" s="116"/>
      <c r="AGF15" s="116"/>
      <c r="AGG15" s="116"/>
      <c r="AGH15" s="116"/>
      <c r="AGI15" s="116"/>
      <c r="AGJ15" s="116"/>
      <c r="AGK15" s="116"/>
      <c r="AGL15" s="116"/>
      <c r="AGM15" s="116"/>
      <c r="AGN15" s="116"/>
      <c r="AGO15" s="116"/>
      <c r="AGP15" s="116"/>
      <c r="AGQ15" s="116"/>
      <c r="AGR15" s="116"/>
      <c r="AGS15" s="116"/>
      <c r="AGT15" s="116"/>
      <c r="AGU15" s="116"/>
      <c r="AGV15" s="116"/>
      <c r="AGW15" s="116"/>
      <c r="AGX15" s="116"/>
      <c r="AGY15" s="116"/>
      <c r="AGZ15" s="116"/>
      <c r="AHA15" s="116"/>
      <c r="AHB15" s="116"/>
      <c r="AHC15" s="116"/>
      <c r="AHD15" s="116"/>
      <c r="AHE15" s="116"/>
      <c r="AHF15" s="116"/>
      <c r="AHG15" s="116"/>
      <c r="AHH15" s="116"/>
      <c r="AHI15" s="116"/>
      <c r="AHJ15" s="116"/>
      <c r="AHK15" s="116"/>
      <c r="AHL15" s="116"/>
      <c r="AHM15" s="116"/>
      <c r="AHN15" s="116"/>
      <c r="AHO15" s="116"/>
      <c r="AHP15" s="116"/>
      <c r="AHQ15" s="116"/>
      <c r="AHR15" s="116"/>
      <c r="AHS15" s="116"/>
      <c r="AHT15" s="116"/>
      <c r="AHU15" s="116"/>
      <c r="AHV15" s="116"/>
      <c r="AHW15" s="116"/>
      <c r="AHX15" s="116"/>
      <c r="AHY15" s="116"/>
      <c r="AHZ15" s="116"/>
      <c r="AIA15" s="116"/>
      <c r="AIB15" s="116"/>
      <c r="AIC15" s="116"/>
      <c r="AID15" s="116"/>
      <c r="AIE15" s="116"/>
      <c r="AIF15" s="116"/>
      <c r="AIG15" s="116"/>
      <c r="AIH15" s="116"/>
      <c r="AII15" s="116"/>
      <c r="AIJ15" s="116"/>
      <c r="AIK15" s="116"/>
      <c r="AIL15" s="116"/>
      <c r="AIM15" s="116"/>
      <c r="AIN15" s="116"/>
      <c r="AIO15" s="116"/>
      <c r="AIP15" s="116"/>
      <c r="AIQ15" s="116"/>
      <c r="AIR15" s="116"/>
      <c r="AIS15" s="116"/>
      <c r="AIT15" s="116"/>
      <c r="AIU15" s="116"/>
      <c r="AIV15" s="116"/>
      <c r="AIW15" s="116"/>
      <c r="AIX15" s="116"/>
      <c r="AIY15" s="116"/>
      <c r="AIZ15" s="116"/>
      <c r="AJA15" s="116"/>
      <c r="AJB15" s="116"/>
      <c r="AJC15" s="116"/>
      <c r="AJD15" s="116"/>
      <c r="AJE15" s="116"/>
      <c r="AJF15" s="116"/>
      <c r="AJG15" s="116"/>
      <c r="AJH15" s="116"/>
      <c r="AJI15" s="116"/>
      <c r="AJJ15" s="116"/>
      <c r="AJK15" s="116"/>
      <c r="AJL15" s="116"/>
      <c r="AJM15" s="116"/>
      <c r="AJN15" s="116"/>
      <c r="AJO15" s="116"/>
      <c r="AJP15" s="116"/>
      <c r="AJQ15" s="116"/>
      <c r="AJR15" s="116"/>
      <c r="AJS15" s="116"/>
      <c r="AJT15" s="116"/>
      <c r="AJU15" s="116"/>
      <c r="AJV15" s="116"/>
      <c r="AJW15" s="116"/>
      <c r="AJX15" s="116"/>
      <c r="AJY15" s="116"/>
      <c r="AJZ15" s="116"/>
      <c r="AKA15" s="116"/>
      <c r="AKB15" s="116"/>
      <c r="AKC15" s="116"/>
      <c r="AKD15" s="116"/>
      <c r="AKE15" s="116"/>
      <c r="AKF15" s="116"/>
      <c r="AKG15" s="116"/>
      <c r="AKH15" s="116"/>
      <c r="AKI15" s="116"/>
      <c r="AKJ15" s="116"/>
      <c r="AKK15" s="116"/>
      <c r="AKL15" s="116"/>
      <c r="AKM15" s="116"/>
      <c r="AKN15" s="116"/>
      <c r="AKO15" s="116"/>
      <c r="AKP15" s="116"/>
    </row>
    <row r="16" spans="1:978" s="101" customFormat="1" ht="14.4" x14ac:dyDescent="0.3">
      <c r="A16" s="83" t="s">
        <v>134</v>
      </c>
      <c r="B16" s="83">
        <v>168.77</v>
      </c>
      <c r="C16" s="119" t="s">
        <v>165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115"/>
      <c r="R16" s="115"/>
      <c r="S16" s="115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  <c r="IW16" s="116"/>
      <c r="IX16" s="116"/>
      <c r="IY16" s="116"/>
      <c r="IZ16" s="116"/>
      <c r="JA16" s="116"/>
      <c r="JB16" s="116"/>
      <c r="JC16" s="116"/>
      <c r="JD16" s="116"/>
      <c r="JE16" s="116"/>
      <c r="JF16" s="116"/>
      <c r="JG16" s="116"/>
      <c r="JH16" s="116"/>
      <c r="JI16" s="116"/>
      <c r="JJ16" s="116"/>
      <c r="JK16" s="116"/>
      <c r="JL16" s="116"/>
      <c r="JM16" s="116"/>
      <c r="JN16" s="116"/>
      <c r="JO16" s="116"/>
      <c r="JP16" s="116"/>
      <c r="JQ16" s="116"/>
      <c r="JR16" s="116"/>
      <c r="JS16" s="116"/>
      <c r="JT16" s="116"/>
      <c r="JU16" s="116"/>
      <c r="JV16" s="116"/>
      <c r="JW16" s="116"/>
      <c r="JX16" s="116"/>
      <c r="JY16" s="116"/>
      <c r="JZ16" s="116"/>
      <c r="KA16" s="116"/>
      <c r="KB16" s="116"/>
      <c r="KC16" s="116"/>
      <c r="KD16" s="116"/>
      <c r="KE16" s="116"/>
      <c r="KF16" s="116"/>
      <c r="KG16" s="116"/>
      <c r="KH16" s="116"/>
      <c r="KI16" s="116"/>
      <c r="KJ16" s="116"/>
      <c r="KK16" s="116"/>
      <c r="KL16" s="116"/>
      <c r="KM16" s="116"/>
      <c r="KN16" s="116"/>
      <c r="KO16" s="116"/>
      <c r="KP16" s="116"/>
      <c r="KQ16" s="116"/>
      <c r="KR16" s="116"/>
      <c r="KS16" s="116"/>
      <c r="KT16" s="116"/>
      <c r="KU16" s="116"/>
      <c r="KV16" s="116"/>
      <c r="KW16" s="116"/>
      <c r="KX16" s="116"/>
      <c r="KY16" s="116"/>
      <c r="KZ16" s="116"/>
      <c r="LA16" s="116"/>
      <c r="LB16" s="116"/>
      <c r="LC16" s="116"/>
      <c r="LD16" s="116"/>
      <c r="LE16" s="116"/>
      <c r="LF16" s="116"/>
      <c r="LG16" s="116"/>
      <c r="LH16" s="116"/>
      <c r="LI16" s="116"/>
      <c r="LJ16" s="116"/>
      <c r="LK16" s="116"/>
      <c r="LL16" s="116"/>
      <c r="LM16" s="116"/>
      <c r="LN16" s="116"/>
      <c r="LO16" s="116"/>
      <c r="LP16" s="116"/>
      <c r="LQ16" s="116"/>
      <c r="LR16" s="116"/>
      <c r="LS16" s="116"/>
      <c r="LT16" s="116"/>
      <c r="LU16" s="116"/>
      <c r="LV16" s="116"/>
      <c r="LW16" s="116"/>
      <c r="LX16" s="116"/>
      <c r="LY16" s="116"/>
      <c r="LZ16" s="116"/>
      <c r="MA16" s="116"/>
      <c r="MB16" s="116"/>
      <c r="MC16" s="116"/>
      <c r="MD16" s="116"/>
      <c r="ME16" s="116"/>
      <c r="MF16" s="116"/>
      <c r="MG16" s="116"/>
      <c r="MH16" s="116"/>
      <c r="MI16" s="116"/>
      <c r="MJ16" s="116"/>
      <c r="MK16" s="116"/>
      <c r="ML16" s="116"/>
      <c r="MM16" s="116"/>
      <c r="MN16" s="116"/>
      <c r="MO16" s="116"/>
      <c r="MP16" s="116"/>
      <c r="MQ16" s="116"/>
      <c r="MR16" s="116"/>
      <c r="MS16" s="116"/>
      <c r="MT16" s="116"/>
      <c r="MU16" s="116"/>
      <c r="MV16" s="116"/>
      <c r="MW16" s="116"/>
      <c r="MX16" s="116"/>
      <c r="MY16" s="116"/>
      <c r="MZ16" s="116"/>
      <c r="NA16" s="116"/>
      <c r="NB16" s="116"/>
      <c r="NC16" s="116"/>
      <c r="ND16" s="116"/>
      <c r="NE16" s="116"/>
      <c r="NF16" s="116"/>
      <c r="NG16" s="116"/>
      <c r="NH16" s="116"/>
      <c r="NI16" s="116"/>
      <c r="NJ16" s="116"/>
      <c r="NK16" s="116"/>
      <c r="NL16" s="116"/>
      <c r="NM16" s="116"/>
      <c r="NN16" s="116"/>
      <c r="NO16" s="116"/>
      <c r="NP16" s="116"/>
      <c r="NQ16" s="116"/>
      <c r="NR16" s="116"/>
      <c r="NS16" s="116"/>
      <c r="NT16" s="116"/>
      <c r="NU16" s="116"/>
      <c r="NV16" s="116"/>
      <c r="NW16" s="116"/>
      <c r="NX16" s="116"/>
      <c r="NY16" s="116"/>
      <c r="NZ16" s="116"/>
      <c r="OA16" s="116"/>
      <c r="OB16" s="116"/>
      <c r="OC16" s="116"/>
      <c r="OD16" s="116"/>
      <c r="OE16" s="116"/>
      <c r="OF16" s="116"/>
      <c r="OG16" s="116"/>
      <c r="OH16" s="116"/>
      <c r="OI16" s="116"/>
      <c r="OJ16" s="116"/>
      <c r="OK16" s="116"/>
      <c r="OL16" s="116"/>
      <c r="OM16" s="116"/>
      <c r="ON16" s="116"/>
      <c r="OO16" s="116"/>
      <c r="OP16" s="116"/>
      <c r="OQ16" s="116"/>
      <c r="OR16" s="116"/>
      <c r="OS16" s="116"/>
      <c r="OT16" s="116"/>
      <c r="OU16" s="116"/>
      <c r="OV16" s="116"/>
      <c r="OW16" s="116"/>
      <c r="OX16" s="116"/>
      <c r="OY16" s="116"/>
      <c r="OZ16" s="116"/>
      <c r="PA16" s="116"/>
      <c r="PB16" s="116"/>
      <c r="PC16" s="116"/>
      <c r="PD16" s="116"/>
      <c r="PE16" s="116"/>
      <c r="PF16" s="116"/>
      <c r="PG16" s="116"/>
      <c r="PH16" s="116"/>
      <c r="PI16" s="116"/>
      <c r="PJ16" s="116"/>
      <c r="PK16" s="116"/>
      <c r="PL16" s="116"/>
      <c r="PM16" s="116"/>
      <c r="PN16" s="116"/>
      <c r="PO16" s="116"/>
      <c r="PP16" s="116"/>
      <c r="PQ16" s="116"/>
      <c r="PR16" s="116"/>
      <c r="PS16" s="116"/>
      <c r="PT16" s="116"/>
      <c r="PU16" s="116"/>
      <c r="PV16" s="116"/>
      <c r="PW16" s="116"/>
      <c r="PX16" s="116"/>
      <c r="PY16" s="116"/>
      <c r="PZ16" s="116"/>
      <c r="QA16" s="116"/>
      <c r="QB16" s="116"/>
      <c r="QC16" s="116"/>
      <c r="QD16" s="116"/>
      <c r="QE16" s="116"/>
      <c r="QF16" s="116"/>
      <c r="QG16" s="116"/>
      <c r="QH16" s="116"/>
      <c r="QI16" s="116"/>
      <c r="QJ16" s="116"/>
      <c r="QK16" s="116"/>
      <c r="QL16" s="116"/>
      <c r="QM16" s="116"/>
      <c r="QN16" s="116"/>
      <c r="QO16" s="116"/>
      <c r="QP16" s="116"/>
      <c r="QQ16" s="116"/>
      <c r="QR16" s="116"/>
      <c r="QS16" s="116"/>
      <c r="QT16" s="116"/>
      <c r="QU16" s="116"/>
      <c r="QV16" s="116"/>
      <c r="QW16" s="116"/>
      <c r="QX16" s="116"/>
      <c r="QY16" s="116"/>
      <c r="QZ16" s="116"/>
      <c r="RA16" s="116"/>
      <c r="RB16" s="116"/>
      <c r="RC16" s="116"/>
      <c r="RD16" s="116"/>
      <c r="RE16" s="116"/>
      <c r="RF16" s="116"/>
      <c r="RG16" s="116"/>
      <c r="RH16" s="116"/>
      <c r="RI16" s="116"/>
      <c r="RJ16" s="116"/>
      <c r="RK16" s="116"/>
      <c r="RL16" s="116"/>
      <c r="RM16" s="116"/>
      <c r="RN16" s="116"/>
      <c r="RO16" s="116"/>
      <c r="RP16" s="116"/>
      <c r="RQ16" s="116"/>
      <c r="RR16" s="116"/>
      <c r="RS16" s="116"/>
      <c r="RT16" s="116"/>
      <c r="RU16" s="116"/>
      <c r="RV16" s="116"/>
      <c r="RW16" s="116"/>
      <c r="RX16" s="116"/>
      <c r="RY16" s="116"/>
      <c r="RZ16" s="116"/>
      <c r="SA16" s="116"/>
      <c r="SB16" s="116"/>
      <c r="SC16" s="116"/>
      <c r="SD16" s="116"/>
      <c r="SE16" s="116"/>
      <c r="SF16" s="116"/>
      <c r="SG16" s="116"/>
      <c r="SH16" s="116"/>
      <c r="SI16" s="116"/>
      <c r="SJ16" s="116"/>
      <c r="SK16" s="116"/>
      <c r="SL16" s="116"/>
      <c r="SM16" s="116"/>
      <c r="SN16" s="116"/>
      <c r="SO16" s="116"/>
      <c r="SP16" s="116"/>
      <c r="SQ16" s="116"/>
      <c r="SR16" s="116"/>
      <c r="SS16" s="116"/>
      <c r="ST16" s="116"/>
      <c r="SU16" s="116"/>
      <c r="SV16" s="116"/>
      <c r="SW16" s="116"/>
      <c r="SX16" s="116"/>
      <c r="SY16" s="116"/>
      <c r="SZ16" s="116"/>
      <c r="TA16" s="116"/>
      <c r="TB16" s="116"/>
      <c r="TC16" s="116"/>
      <c r="TD16" s="116"/>
      <c r="TE16" s="116"/>
      <c r="TF16" s="116"/>
      <c r="TG16" s="116"/>
      <c r="TH16" s="116"/>
      <c r="TI16" s="116"/>
      <c r="TJ16" s="116"/>
      <c r="TK16" s="116"/>
      <c r="TL16" s="116"/>
      <c r="TM16" s="116"/>
      <c r="TN16" s="116"/>
      <c r="TO16" s="116"/>
      <c r="TP16" s="116"/>
      <c r="TQ16" s="116"/>
      <c r="TR16" s="116"/>
      <c r="TS16" s="116"/>
      <c r="TT16" s="116"/>
      <c r="TU16" s="116"/>
      <c r="TV16" s="116"/>
      <c r="TW16" s="116"/>
      <c r="TX16" s="116"/>
      <c r="TY16" s="116"/>
      <c r="TZ16" s="116"/>
      <c r="UA16" s="116"/>
      <c r="UB16" s="116"/>
      <c r="UC16" s="116"/>
      <c r="UD16" s="116"/>
      <c r="UE16" s="116"/>
      <c r="UF16" s="116"/>
      <c r="UG16" s="116"/>
      <c r="UH16" s="116"/>
      <c r="UI16" s="116"/>
      <c r="UJ16" s="116"/>
      <c r="UK16" s="116"/>
      <c r="UL16" s="116"/>
      <c r="UM16" s="116"/>
      <c r="UN16" s="116"/>
      <c r="UO16" s="116"/>
      <c r="UP16" s="116"/>
      <c r="UQ16" s="116"/>
      <c r="UR16" s="116"/>
      <c r="US16" s="116"/>
      <c r="UT16" s="116"/>
      <c r="UU16" s="116"/>
      <c r="UV16" s="116"/>
      <c r="UW16" s="116"/>
      <c r="UX16" s="116"/>
      <c r="UY16" s="116"/>
      <c r="UZ16" s="116"/>
      <c r="VA16" s="116"/>
      <c r="VB16" s="116"/>
      <c r="VC16" s="116"/>
      <c r="VD16" s="116"/>
      <c r="VE16" s="116"/>
      <c r="VF16" s="116"/>
      <c r="VG16" s="116"/>
      <c r="VH16" s="116"/>
      <c r="VI16" s="116"/>
      <c r="VJ16" s="116"/>
      <c r="VK16" s="116"/>
      <c r="VL16" s="116"/>
      <c r="VM16" s="116"/>
      <c r="VN16" s="116"/>
      <c r="VO16" s="116"/>
      <c r="VP16" s="116"/>
      <c r="VQ16" s="116"/>
      <c r="VR16" s="116"/>
      <c r="VS16" s="116"/>
      <c r="VT16" s="116"/>
      <c r="VU16" s="116"/>
      <c r="VV16" s="116"/>
      <c r="VW16" s="116"/>
      <c r="VX16" s="116"/>
      <c r="VY16" s="116"/>
      <c r="VZ16" s="116"/>
      <c r="WA16" s="116"/>
      <c r="WB16" s="116"/>
      <c r="WC16" s="116"/>
      <c r="WD16" s="116"/>
      <c r="WE16" s="116"/>
      <c r="WF16" s="116"/>
      <c r="WG16" s="116"/>
      <c r="WH16" s="116"/>
      <c r="WI16" s="116"/>
      <c r="WJ16" s="116"/>
      <c r="WK16" s="116"/>
      <c r="WL16" s="116"/>
      <c r="WM16" s="116"/>
      <c r="WN16" s="116"/>
      <c r="WO16" s="116"/>
      <c r="WP16" s="116"/>
      <c r="WQ16" s="116"/>
      <c r="WR16" s="116"/>
      <c r="WS16" s="116"/>
      <c r="WT16" s="116"/>
      <c r="WU16" s="116"/>
      <c r="WV16" s="116"/>
      <c r="WW16" s="116"/>
      <c r="WX16" s="116"/>
      <c r="WY16" s="116"/>
      <c r="WZ16" s="116"/>
      <c r="XA16" s="116"/>
      <c r="XB16" s="116"/>
      <c r="XC16" s="116"/>
      <c r="XD16" s="116"/>
      <c r="XE16" s="116"/>
      <c r="XF16" s="116"/>
      <c r="XG16" s="116"/>
      <c r="XH16" s="116"/>
      <c r="XI16" s="116"/>
      <c r="XJ16" s="116"/>
      <c r="XK16" s="116"/>
      <c r="XL16" s="116"/>
      <c r="XM16" s="116"/>
      <c r="XN16" s="116"/>
      <c r="XO16" s="116"/>
      <c r="XP16" s="116"/>
      <c r="XQ16" s="116"/>
      <c r="XR16" s="116"/>
      <c r="XS16" s="116"/>
      <c r="XT16" s="116"/>
      <c r="XU16" s="116"/>
      <c r="XV16" s="116"/>
      <c r="XW16" s="116"/>
      <c r="XX16" s="116"/>
      <c r="XY16" s="116"/>
      <c r="XZ16" s="116"/>
      <c r="YA16" s="116"/>
      <c r="YB16" s="116"/>
      <c r="YC16" s="116"/>
      <c r="YD16" s="116"/>
      <c r="YE16" s="116"/>
      <c r="YF16" s="116"/>
      <c r="YG16" s="116"/>
      <c r="YH16" s="116"/>
      <c r="YI16" s="116"/>
      <c r="YJ16" s="116"/>
      <c r="YK16" s="116"/>
      <c r="YL16" s="116"/>
      <c r="YM16" s="116"/>
      <c r="YN16" s="116"/>
      <c r="YO16" s="116"/>
      <c r="YP16" s="116"/>
      <c r="YQ16" s="116"/>
      <c r="YR16" s="116"/>
      <c r="YS16" s="116"/>
      <c r="YT16" s="116"/>
      <c r="YU16" s="116"/>
      <c r="YV16" s="116"/>
      <c r="YW16" s="116"/>
      <c r="YX16" s="116"/>
      <c r="YY16" s="116"/>
      <c r="YZ16" s="116"/>
      <c r="ZA16" s="116"/>
      <c r="ZB16" s="116"/>
      <c r="ZC16" s="116"/>
      <c r="ZD16" s="116"/>
      <c r="ZE16" s="116"/>
      <c r="ZF16" s="116"/>
      <c r="ZG16" s="116"/>
      <c r="ZH16" s="116"/>
      <c r="ZI16" s="116"/>
      <c r="ZJ16" s="116"/>
      <c r="ZK16" s="116"/>
      <c r="ZL16" s="116"/>
      <c r="ZM16" s="116"/>
      <c r="ZN16" s="116"/>
      <c r="ZO16" s="116"/>
      <c r="ZP16" s="116"/>
      <c r="ZQ16" s="116"/>
      <c r="ZR16" s="116"/>
      <c r="ZS16" s="116"/>
      <c r="ZT16" s="116"/>
      <c r="ZU16" s="116"/>
      <c r="ZV16" s="116"/>
      <c r="ZW16" s="116"/>
      <c r="ZX16" s="116"/>
      <c r="ZY16" s="116"/>
      <c r="ZZ16" s="116"/>
      <c r="AAA16" s="116"/>
      <c r="AAB16" s="116"/>
      <c r="AAC16" s="116"/>
      <c r="AAD16" s="116"/>
      <c r="AAE16" s="116"/>
      <c r="AAF16" s="116"/>
      <c r="AAG16" s="116"/>
      <c r="AAH16" s="116"/>
      <c r="AAI16" s="116"/>
      <c r="AAJ16" s="116"/>
      <c r="AAK16" s="116"/>
      <c r="AAL16" s="116"/>
      <c r="AAM16" s="116"/>
      <c r="AAN16" s="116"/>
      <c r="AAO16" s="116"/>
      <c r="AAP16" s="116"/>
      <c r="AAQ16" s="116"/>
      <c r="AAR16" s="116"/>
      <c r="AAS16" s="116"/>
      <c r="AAT16" s="116"/>
      <c r="AAU16" s="116"/>
      <c r="AAV16" s="116"/>
      <c r="AAW16" s="116"/>
      <c r="AAX16" s="116"/>
      <c r="AAY16" s="116"/>
      <c r="AAZ16" s="116"/>
      <c r="ABA16" s="116"/>
      <c r="ABB16" s="116"/>
      <c r="ABC16" s="116"/>
      <c r="ABD16" s="116"/>
      <c r="ABE16" s="116"/>
      <c r="ABF16" s="116"/>
      <c r="ABG16" s="116"/>
      <c r="ABH16" s="116"/>
      <c r="ABI16" s="116"/>
      <c r="ABJ16" s="116"/>
      <c r="ABK16" s="116"/>
      <c r="ABL16" s="116"/>
      <c r="ABM16" s="116"/>
      <c r="ABN16" s="116"/>
      <c r="ABO16" s="116"/>
      <c r="ABP16" s="116"/>
      <c r="ABQ16" s="116"/>
      <c r="ABR16" s="116"/>
      <c r="ABS16" s="116"/>
      <c r="ABT16" s="116"/>
      <c r="ABU16" s="116"/>
      <c r="ABV16" s="116"/>
      <c r="ABW16" s="116"/>
      <c r="ABX16" s="116"/>
      <c r="ABY16" s="116"/>
      <c r="ABZ16" s="116"/>
      <c r="ACA16" s="116"/>
      <c r="ACB16" s="116"/>
      <c r="ACC16" s="116"/>
      <c r="ACD16" s="116"/>
      <c r="ACE16" s="116"/>
      <c r="ACF16" s="116"/>
      <c r="ACG16" s="116"/>
      <c r="ACH16" s="116"/>
      <c r="ACI16" s="116"/>
      <c r="ACJ16" s="116"/>
      <c r="ACK16" s="116"/>
      <c r="ACL16" s="116"/>
      <c r="ACM16" s="116"/>
      <c r="ACN16" s="116"/>
      <c r="ACO16" s="116"/>
      <c r="ACP16" s="116"/>
      <c r="ACQ16" s="116"/>
      <c r="ACR16" s="116"/>
      <c r="ACS16" s="116"/>
      <c r="ACT16" s="116"/>
      <c r="ACU16" s="116"/>
      <c r="ACV16" s="116"/>
      <c r="ACW16" s="116"/>
      <c r="ACX16" s="116"/>
      <c r="ACY16" s="116"/>
      <c r="ACZ16" s="116"/>
      <c r="ADA16" s="116"/>
      <c r="ADB16" s="116"/>
      <c r="ADC16" s="116"/>
      <c r="ADD16" s="116"/>
      <c r="ADE16" s="116"/>
      <c r="ADF16" s="116"/>
      <c r="ADG16" s="116"/>
      <c r="ADH16" s="116"/>
      <c r="ADI16" s="116"/>
      <c r="ADJ16" s="116"/>
      <c r="ADK16" s="116"/>
      <c r="ADL16" s="116"/>
      <c r="ADM16" s="116"/>
      <c r="ADN16" s="116"/>
      <c r="ADO16" s="116"/>
      <c r="ADP16" s="116"/>
      <c r="ADQ16" s="116"/>
      <c r="ADR16" s="116"/>
      <c r="ADS16" s="116"/>
      <c r="ADT16" s="116"/>
      <c r="ADU16" s="116"/>
      <c r="ADV16" s="116"/>
      <c r="ADW16" s="116"/>
      <c r="ADX16" s="116"/>
      <c r="ADY16" s="116"/>
      <c r="ADZ16" s="116"/>
      <c r="AEA16" s="116"/>
      <c r="AEB16" s="116"/>
      <c r="AEC16" s="116"/>
      <c r="AED16" s="116"/>
      <c r="AEE16" s="116"/>
      <c r="AEF16" s="116"/>
      <c r="AEG16" s="116"/>
      <c r="AEH16" s="116"/>
      <c r="AEI16" s="116"/>
      <c r="AEJ16" s="116"/>
      <c r="AEK16" s="116"/>
      <c r="AEL16" s="116"/>
      <c r="AEM16" s="116"/>
      <c r="AEN16" s="116"/>
      <c r="AEO16" s="116"/>
      <c r="AEP16" s="116"/>
      <c r="AEQ16" s="116"/>
      <c r="AER16" s="116"/>
      <c r="AES16" s="116"/>
      <c r="AET16" s="116"/>
      <c r="AEU16" s="116"/>
      <c r="AEV16" s="116"/>
      <c r="AEW16" s="116"/>
      <c r="AEX16" s="116"/>
      <c r="AEY16" s="116"/>
      <c r="AEZ16" s="116"/>
      <c r="AFA16" s="116"/>
      <c r="AFB16" s="116"/>
      <c r="AFC16" s="116"/>
      <c r="AFD16" s="116"/>
      <c r="AFE16" s="116"/>
      <c r="AFF16" s="116"/>
      <c r="AFG16" s="116"/>
      <c r="AFH16" s="116"/>
      <c r="AFI16" s="116"/>
      <c r="AFJ16" s="116"/>
      <c r="AFK16" s="116"/>
      <c r="AFL16" s="116"/>
      <c r="AFM16" s="116"/>
      <c r="AFN16" s="116"/>
      <c r="AFO16" s="116"/>
      <c r="AFP16" s="116"/>
      <c r="AFQ16" s="116"/>
      <c r="AFR16" s="116"/>
      <c r="AFS16" s="116"/>
      <c r="AFT16" s="116"/>
      <c r="AFU16" s="116"/>
      <c r="AFV16" s="116"/>
      <c r="AFW16" s="116"/>
      <c r="AFX16" s="116"/>
      <c r="AFY16" s="116"/>
      <c r="AFZ16" s="116"/>
      <c r="AGA16" s="116"/>
      <c r="AGB16" s="116"/>
      <c r="AGC16" s="116"/>
      <c r="AGD16" s="116"/>
      <c r="AGE16" s="116"/>
      <c r="AGF16" s="116"/>
      <c r="AGG16" s="116"/>
      <c r="AGH16" s="116"/>
      <c r="AGI16" s="116"/>
      <c r="AGJ16" s="116"/>
      <c r="AGK16" s="116"/>
      <c r="AGL16" s="116"/>
      <c r="AGM16" s="116"/>
      <c r="AGN16" s="116"/>
      <c r="AGO16" s="116"/>
      <c r="AGP16" s="116"/>
      <c r="AGQ16" s="116"/>
      <c r="AGR16" s="116"/>
      <c r="AGS16" s="116"/>
      <c r="AGT16" s="116"/>
      <c r="AGU16" s="116"/>
      <c r="AGV16" s="116"/>
      <c r="AGW16" s="116"/>
      <c r="AGX16" s="116"/>
      <c r="AGY16" s="116"/>
      <c r="AGZ16" s="116"/>
      <c r="AHA16" s="116"/>
      <c r="AHB16" s="116"/>
      <c r="AHC16" s="116"/>
      <c r="AHD16" s="116"/>
      <c r="AHE16" s="116"/>
      <c r="AHF16" s="116"/>
      <c r="AHG16" s="116"/>
      <c r="AHH16" s="116"/>
      <c r="AHI16" s="116"/>
      <c r="AHJ16" s="116"/>
      <c r="AHK16" s="116"/>
      <c r="AHL16" s="116"/>
      <c r="AHM16" s="116"/>
      <c r="AHN16" s="116"/>
      <c r="AHO16" s="116"/>
      <c r="AHP16" s="116"/>
      <c r="AHQ16" s="116"/>
      <c r="AHR16" s="116"/>
      <c r="AHS16" s="116"/>
      <c r="AHT16" s="116"/>
      <c r="AHU16" s="116"/>
      <c r="AHV16" s="116"/>
      <c r="AHW16" s="116"/>
      <c r="AHX16" s="116"/>
      <c r="AHY16" s="116"/>
      <c r="AHZ16" s="116"/>
      <c r="AIA16" s="116"/>
      <c r="AIB16" s="116"/>
      <c r="AIC16" s="116"/>
      <c r="AID16" s="116"/>
      <c r="AIE16" s="116"/>
      <c r="AIF16" s="116"/>
      <c r="AIG16" s="116"/>
      <c r="AIH16" s="116"/>
      <c r="AII16" s="116"/>
      <c r="AIJ16" s="116"/>
      <c r="AIK16" s="116"/>
      <c r="AIL16" s="116"/>
      <c r="AIM16" s="116"/>
      <c r="AIN16" s="116"/>
      <c r="AIO16" s="116"/>
      <c r="AIP16" s="116"/>
      <c r="AIQ16" s="116"/>
      <c r="AIR16" s="116"/>
      <c r="AIS16" s="116"/>
      <c r="AIT16" s="116"/>
      <c r="AIU16" s="116"/>
      <c r="AIV16" s="116"/>
      <c r="AIW16" s="116"/>
      <c r="AIX16" s="116"/>
      <c r="AIY16" s="116"/>
      <c r="AIZ16" s="116"/>
      <c r="AJA16" s="116"/>
      <c r="AJB16" s="116"/>
      <c r="AJC16" s="116"/>
      <c r="AJD16" s="116"/>
      <c r="AJE16" s="116"/>
      <c r="AJF16" s="116"/>
      <c r="AJG16" s="116"/>
      <c r="AJH16" s="116"/>
      <c r="AJI16" s="116"/>
      <c r="AJJ16" s="116"/>
      <c r="AJK16" s="116"/>
      <c r="AJL16" s="116"/>
      <c r="AJM16" s="116"/>
      <c r="AJN16" s="116"/>
      <c r="AJO16" s="116"/>
      <c r="AJP16" s="116"/>
      <c r="AJQ16" s="116"/>
      <c r="AJR16" s="116"/>
      <c r="AJS16" s="116"/>
      <c r="AJT16" s="116"/>
      <c r="AJU16" s="116"/>
      <c r="AJV16" s="116"/>
      <c r="AJW16" s="116"/>
      <c r="AJX16" s="116"/>
      <c r="AJY16" s="116"/>
      <c r="AJZ16" s="116"/>
      <c r="AKA16" s="116"/>
      <c r="AKB16" s="116"/>
      <c r="AKC16" s="116"/>
      <c r="AKD16" s="116"/>
      <c r="AKE16" s="116"/>
      <c r="AKF16" s="116"/>
      <c r="AKG16" s="116"/>
      <c r="AKH16" s="116"/>
      <c r="AKI16" s="116"/>
      <c r="AKJ16" s="116"/>
      <c r="AKK16" s="116"/>
      <c r="AKL16" s="116"/>
      <c r="AKM16" s="116"/>
      <c r="AKN16" s="116"/>
      <c r="AKO16" s="116"/>
      <c r="AKP16" s="116"/>
    </row>
    <row r="17" spans="1:978" s="101" customFormat="1" ht="14.4" x14ac:dyDescent="0.3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115"/>
      <c r="R17" s="115"/>
      <c r="S17" s="115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  <c r="IW17" s="116"/>
      <c r="IX17" s="116"/>
      <c r="IY17" s="116"/>
      <c r="IZ17" s="116"/>
      <c r="JA17" s="116"/>
      <c r="JB17" s="116"/>
      <c r="JC17" s="116"/>
      <c r="JD17" s="116"/>
      <c r="JE17" s="116"/>
      <c r="JF17" s="116"/>
      <c r="JG17" s="116"/>
      <c r="JH17" s="116"/>
      <c r="JI17" s="116"/>
      <c r="JJ17" s="116"/>
      <c r="JK17" s="116"/>
      <c r="JL17" s="116"/>
      <c r="JM17" s="116"/>
      <c r="JN17" s="116"/>
      <c r="JO17" s="116"/>
      <c r="JP17" s="116"/>
      <c r="JQ17" s="116"/>
      <c r="JR17" s="116"/>
      <c r="JS17" s="116"/>
      <c r="JT17" s="116"/>
      <c r="JU17" s="116"/>
      <c r="JV17" s="116"/>
      <c r="JW17" s="116"/>
      <c r="JX17" s="116"/>
      <c r="JY17" s="116"/>
      <c r="JZ17" s="116"/>
      <c r="KA17" s="116"/>
      <c r="KB17" s="116"/>
      <c r="KC17" s="116"/>
      <c r="KD17" s="116"/>
      <c r="KE17" s="116"/>
      <c r="KF17" s="116"/>
      <c r="KG17" s="116"/>
      <c r="KH17" s="116"/>
      <c r="KI17" s="116"/>
      <c r="KJ17" s="116"/>
      <c r="KK17" s="116"/>
      <c r="KL17" s="116"/>
      <c r="KM17" s="116"/>
      <c r="KN17" s="116"/>
      <c r="KO17" s="116"/>
      <c r="KP17" s="116"/>
      <c r="KQ17" s="116"/>
      <c r="KR17" s="116"/>
      <c r="KS17" s="116"/>
      <c r="KT17" s="116"/>
      <c r="KU17" s="116"/>
      <c r="KV17" s="116"/>
      <c r="KW17" s="116"/>
      <c r="KX17" s="116"/>
      <c r="KY17" s="116"/>
      <c r="KZ17" s="116"/>
      <c r="LA17" s="116"/>
      <c r="LB17" s="116"/>
      <c r="LC17" s="116"/>
      <c r="LD17" s="116"/>
      <c r="LE17" s="116"/>
      <c r="LF17" s="116"/>
      <c r="LG17" s="116"/>
      <c r="LH17" s="116"/>
      <c r="LI17" s="116"/>
      <c r="LJ17" s="116"/>
      <c r="LK17" s="116"/>
      <c r="LL17" s="116"/>
      <c r="LM17" s="116"/>
      <c r="LN17" s="116"/>
      <c r="LO17" s="116"/>
      <c r="LP17" s="116"/>
      <c r="LQ17" s="116"/>
      <c r="LR17" s="116"/>
      <c r="LS17" s="116"/>
      <c r="LT17" s="116"/>
      <c r="LU17" s="116"/>
      <c r="LV17" s="116"/>
      <c r="LW17" s="116"/>
      <c r="LX17" s="116"/>
      <c r="LY17" s="116"/>
      <c r="LZ17" s="116"/>
      <c r="MA17" s="116"/>
      <c r="MB17" s="116"/>
      <c r="MC17" s="116"/>
      <c r="MD17" s="116"/>
      <c r="ME17" s="116"/>
      <c r="MF17" s="116"/>
      <c r="MG17" s="116"/>
      <c r="MH17" s="116"/>
      <c r="MI17" s="116"/>
      <c r="MJ17" s="116"/>
      <c r="MK17" s="116"/>
      <c r="ML17" s="116"/>
      <c r="MM17" s="116"/>
      <c r="MN17" s="116"/>
      <c r="MO17" s="116"/>
      <c r="MP17" s="116"/>
      <c r="MQ17" s="116"/>
      <c r="MR17" s="116"/>
      <c r="MS17" s="116"/>
      <c r="MT17" s="116"/>
      <c r="MU17" s="116"/>
      <c r="MV17" s="116"/>
      <c r="MW17" s="116"/>
      <c r="MX17" s="116"/>
      <c r="MY17" s="116"/>
      <c r="MZ17" s="116"/>
      <c r="NA17" s="116"/>
      <c r="NB17" s="116"/>
      <c r="NC17" s="116"/>
      <c r="ND17" s="116"/>
      <c r="NE17" s="116"/>
      <c r="NF17" s="116"/>
      <c r="NG17" s="116"/>
      <c r="NH17" s="116"/>
      <c r="NI17" s="116"/>
      <c r="NJ17" s="116"/>
      <c r="NK17" s="116"/>
      <c r="NL17" s="116"/>
      <c r="NM17" s="116"/>
      <c r="NN17" s="116"/>
      <c r="NO17" s="116"/>
      <c r="NP17" s="116"/>
      <c r="NQ17" s="116"/>
      <c r="NR17" s="116"/>
      <c r="NS17" s="116"/>
      <c r="NT17" s="116"/>
      <c r="NU17" s="116"/>
      <c r="NV17" s="116"/>
      <c r="NW17" s="116"/>
      <c r="NX17" s="116"/>
      <c r="NY17" s="116"/>
      <c r="NZ17" s="116"/>
      <c r="OA17" s="116"/>
      <c r="OB17" s="116"/>
      <c r="OC17" s="116"/>
      <c r="OD17" s="116"/>
      <c r="OE17" s="116"/>
      <c r="OF17" s="116"/>
      <c r="OG17" s="116"/>
      <c r="OH17" s="116"/>
      <c r="OI17" s="116"/>
      <c r="OJ17" s="116"/>
      <c r="OK17" s="116"/>
      <c r="OL17" s="116"/>
      <c r="OM17" s="116"/>
      <c r="ON17" s="116"/>
      <c r="OO17" s="116"/>
      <c r="OP17" s="116"/>
      <c r="OQ17" s="116"/>
      <c r="OR17" s="116"/>
      <c r="OS17" s="116"/>
      <c r="OT17" s="116"/>
      <c r="OU17" s="116"/>
      <c r="OV17" s="116"/>
      <c r="OW17" s="116"/>
      <c r="OX17" s="116"/>
      <c r="OY17" s="116"/>
      <c r="OZ17" s="116"/>
      <c r="PA17" s="116"/>
      <c r="PB17" s="116"/>
      <c r="PC17" s="116"/>
      <c r="PD17" s="116"/>
      <c r="PE17" s="116"/>
      <c r="PF17" s="116"/>
      <c r="PG17" s="116"/>
      <c r="PH17" s="116"/>
      <c r="PI17" s="116"/>
      <c r="PJ17" s="116"/>
      <c r="PK17" s="116"/>
      <c r="PL17" s="116"/>
      <c r="PM17" s="116"/>
      <c r="PN17" s="116"/>
      <c r="PO17" s="116"/>
      <c r="PP17" s="116"/>
      <c r="PQ17" s="116"/>
      <c r="PR17" s="116"/>
      <c r="PS17" s="116"/>
      <c r="PT17" s="116"/>
      <c r="PU17" s="116"/>
      <c r="PV17" s="116"/>
      <c r="PW17" s="116"/>
      <c r="PX17" s="116"/>
      <c r="PY17" s="116"/>
      <c r="PZ17" s="116"/>
      <c r="QA17" s="116"/>
      <c r="QB17" s="116"/>
      <c r="QC17" s="116"/>
      <c r="QD17" s="116"/>
      <c r="QE17" s="116"/>
      <c r="QF17" s="116"/>
      <c r="QG17" s="116"/>
      <c r="QH17" s="116"/>
      <c r="QI17" s="116"/>
      <c r="QJ17" s="116"/>
      <c r="QK17" s="116"/>
      <c r="QL17" s="116"/>
      <c r="QM17" s="116"/>
      <c r="QN17" s="116"/>
      <c r="QO17" s="116"/>
      <c r="QP17" s="116"/>
      <c r="QQ17" s="116"/>
      <c r="QR17" s="116"/>
      <c r="QS17" s="116"/>
      <c r="QT17" s="116"/>
      <c r="QU17" s="116"/>
      <c r="QV17" s="116"/>
      <c r="QW17" s="116"/>
      <c r="QX17" s="116"/>
      <c r="QY17" s="116"/>
      <c r="QZ17" s="116"/>
      <c r="RA17" s="116"/>
      <c r="RB17" s="116"/>
      <c r="RC17" s="116"/>
      <c r="RD17" s="116"/>
      <c r="RE17" s="116"/>
      <c r="RF17" s="116"/>
      <c r="RG17" s="116"/>
      <c r="RH17" s="116"/>
      <c r="RI17" s="116"/>
      <c r="RJ17" s="116"/>
      <c r="RK17" s="116"/>
      <c r="RL17" s="116"/>
      <c r="RM17" s="116"/>
      <c r="RN17" s="116"/>
      <c r="RO17" s="116"/>
      <c r="RP17" s="116"/>
      <c r="RQ17" s="116"/>
      <c r="RR17" s="116"/>
      <c r="RS17" s="116"/>
      <c r="RT17" s="116"/>
      <c r="RU17" s="116"/>
      <c r="RV17" s="116"/>
      <c r="RW17" s="116"/>
      <c r="RX17" s="116"/>
      <c r="RY17" s="116"/>
      <c r="RZ17" s="116"/>
      <c r="SA17" s="116"/>
      <c r="SB17" s="116"/>
      <c r="SC17" s="116"/>
      <c r="SD17" s="116"/>
      <c r="SE17" s="116"/>
      <c r="SF17" s="116"/>
      <c r="SG17" s="116"/>
      <c r="SH17" s="116"/>
      <c r="SI17" s="116"/>
      <c r="SJ17" s="116"/>
      <c r="SK17" s="116"/>
      <c r="SL17" s="116"/>
      <c r="SM17" s="116"/>
      <c r="SN17" s="116"/>
      <c r="SO17" s="116"/>
      <c r="SP17" s="116"/>
      <c r="SQ17" s="116"/>
      <c r="SR17" s="116"/>
      <c r="SS17" s="116"/>
      <c r="ST17" s="116"/>
      <c r="SU17" s="116"/>
      <c r="SV17" s="116"/>
      <c r="SW17" s="116"/>
      <c r="SX17" s="116"/>
      <c r="SY17" s="116"/>
      <c r="SZ17" s="116"/>
      <c r="TA17" s="116"/>
      <c r="TB17" s="116"/>
      <c r="TC17" s="116"/>
      <c r="TD17" s="116"/>
      <c r="TE17" s="116"/>
      <c r="TF17" s="116"/>
      <c r="TG17" s="116"/>
      <c r="TH17" s="116"/>
      <c r="TI17" s="116"/>
      <c r="TJ17" s="116"/>
      <c r="TK17" s="116"/>
      <c r="TL17" s="116"/>
      <c r="TM17" s="116"/>
      <c r="TN17" s="116"/>
      <c r="TO17" s="116"/>
      <c r="TP17" s="116"/>
      <c r="TQ17" s="116"/>
      <c r="TR17" s="116"/>
      <c r="TS17" s="116"/>
      <c r="TT17" s="116"/>
      <c r="TU17" s="116"/>
      <c r="TV17" s="116"/>
      <c r="TW17" s="116"/>
      <c r="TX17" s="116"/>
      <c r="TY17" s="116"/>
      <c r="TZ17" s="116"/>
      <c r="UA17" s="116"/>
      <c r="UB17" s="116"/>
      <c r="UC17" s="116"/>
      <c r="UD17" s="116"/>
      <c r="UE17" s="116"/>
      <c r="UF17" s="116"/>
      <c r="UG17" s="116"/>
      <c r="UH17" s="116"/>
      <c r="UI17" s="116"/>
      <c r="UJ17" s="116"/>
      <c r="UK17" s="116"/>
      <c r="UL17" s="116"/>
      <c r="UM17" s="116"/>
      <c r="UN17" s="116"/>
      <c r="UO17" s="116"/>
      <c r="UP17" s="116"/>
      <c r="UQ17" s="116"/>
      <c r="UR17" s="116"/>
      <c r="US17" s="116"/>
      <c r="UT17" s="116"/>
      <c r="UU17" s="116"/>
      <c r="UV17" s="116"/>
      <c r="UW17" s="116"/>
      <c r="UX17" s="116"/>
      <c r="UY17" s="116"/>
      <c r="UZ17" s="116"/>
      <c r="VA17" s="116"/>
      <c r="VB17" s="116"/>
      <c r="VC17" s="116"/>
      <c r="VD17" s="116"/>
      <c r="VE17" s="116"/>
      <c r="VF17" s="116"/>
      <c r="VG17" s="116"/>
      <c r="VH17" s="116"/>
      <c r="VI17" s="116"/>
      <c r="VJ17" s="116"/>
      <c r="VK17" s="116"/>
      <c r="VL17" s="116"/>
      <c r="VM17" s="116"/>
      <c r="VN17" s="116"/>
      <c r="VO17" s="116"/>
      <c r="VP17" s="116"/>
      <c r="VQ17" s="116"/>
      <c r="VR17" s="116"/>
      <c r="VS17" s="116"/>
      <c r="VT17" s="116"/>
      <c r="VU17" s="116"/>
      <c r="VV17" s="116"/>
      <c r="VW17" s="116"/>
      <c r="VX17" s="116"/>
      <c r="VY17" s="116"/>
      <c r="VZ17" s="116"/>
      <c r="WA17" s="116"/>
      <c r="WB17" s="116"/>
      <c r="WC17" s="116"/>
      <c r="WD17" s="116"/>
      <c r="WE17" s="116"/>
      <c r="WF17" s="116"/>
      <c r="WG17" s="116"/>
      <c r="WH17" s="116"/>
      <c r="WI17" s="116"/>
      <c r="WJ17" s="116"/>
      <c r="WK17" s="116"/>
      <c r="WL17" s="116"/>
      <c r="WM17" s="116"/>
      <c r="WN17" s="116"/>
      <c r="WO17" s="116"/>
      <c r="WP17" s="116"/>
      <c r="WQ17" s="116"/>
      <c r="WR17" s="116"/>
      <c r="WS17" s="116"/>
      <c r="WT17" s="116"/>
      <c r="WU17" s="116"/>
      <c r="WV17" s="116"/>
      <c r="WW17" s="116"/>
      <c r="WX17" s="116"/>
      <c r="WY17" s="116"/>
      <c r="WZ17" s="116"/>
      <c r="XA17" s="116"/>
      <c r="XB17" s="116"/>
      <c r="XC17" s="116"/>
      <c r="XD17" s="116"/>
      <c r="XE17" s="116"/>
      <c r="XF17" s="116"/>
      <c r="XG17" s="116"/>
      <c r="XH17" s="116"/>
      <c r="XI17" s="116"/>
      <c r="XJ17" s="116"/>
      <c r="XK17" s="116"/>
      <c r="XL17" s="116"/>
      <c r="XM17" s="116"/>
      <c r="XN17" s="116"/>
      <c r="XO17" s="116"/>
      <c r="XP17" s="116"/>
      <c r="XQ17" s="116"/>
      <c r="XR17" s="116"/>
      <c r="XS17" s="116"/>
      <c r="XT17" s="116"/>
      <c r="XU17" s="116"/>
      <c r="XV17" s="116"/>
      <c r="XW17" s="116"/>
      <c r="XX17" s="116"/>
      <c r="XY17" s="116"/>
      <c r="XZ17" s="116"/>
      <c r="YA17" s="116"/>
      <c r="YB17" s="116"/>
      <c r="YC17" s="116"/>
      <c r="YD17" s="116"/>
      <c r="YE17" s="116"/>
      <c r="YF17" s="116"/>
      <c r="YG17" s="116"/>
      <c r="YH17" s="116"/>
      <c r="YI17" s="116"/>
      <c r="YJ17" s="116"/>
      <c r="YK17" s="116"/>
      <c r="YL17" s="116"/>
      <c r="YM17" s="116"/>
      <c r="YN17" s="116"/>
      <c r="YO17" s="116"/>
      <c r="YP17" s="116"/>
      <c r="YQ17" s="116"/>
      <c r="YR17" s="116"/>
      <c r="YS17" s="116"/>
      <c r="YT17" s="116"/>
      <c r="YU17" s="116"/>
      <c r="YV17" s="116"/>
      <c r="YW17" s="116"/>
      <c r="YX17" s="116"/>
      <c r="YY17" s="116"/>
      <c r="YZ17" s="116"/>
      <c r="ZA17" s="116"/>
      <c r="ZB17" s="116"/>
      <c r="ZC17" s="116"/>
      <c r="ZD17" s="116"/>
      <c r="ZE17" s="116"/>
      <c r="ZF17" s="116"/>
      <c r="ZG17" s="116"/>
      <c r="ZH17" s="116"/>
      <c r="ZI17" s="116"/>
      <c r="ZJ17" s="116"/>
      <c r="ZK17" s="116"/>
      <c r="ZL17" s="116"/>
      <c r="ZM17" s="116"/>
      <c r="ZN17" s="116"/>
      <c r="ZO17" s="116"/>
      <c r="ZP17" s="116"/>
      <c r="ZQ17" s="116"/>
      <c r="ZR17" s="116"/>
      <c r="ZS17" s="116"/>
      <c r="ZT17" s="116"/>
      <c r="ZU17" s="116"/>
      <c r="ZV17" s="116"/>
      <c r="ZW17" s="116"/>
      <c r="ZX17" s="116"/>
      <c r="ZY17" s="116"/>
      <c r="ZZ17" s="116"/>
      <c r="AAA17" s="116"/>
      <c r="AAB17" s="116"/>
      <c r="AAC17" s="116"/>
      <c r="AAD17" s="116"/>
      <c r="AAE17" s="116"/>
      <c r="AAF17" s="116"/>
      <c r="AAG17" s="116"/>
      <c r="AAH17" s="116"/>
      <c r="AAI17" s="116"/>
      <c r="AAJ17" s="116"/>
      <c r="AAK17" s="116"/>
      <c r="AAL17" s="116"/>
      <c r="AAM17" s="116"/>
      <c r="AAN17" s="116"/>
      <c r="AAO17" s="116"/>
      <c r="AAP17" s="116"/>
      <c r="AAQ17" s="116"/>
      <c r="AAR17" s="116"/>
      <c r="AAS17" s="116"/>
      <c r="AAT17" s="116"/>
      <c r="AAU17" s="116"/>
      <c r="AAV17" s="116"/>
      <c r="AAW17" s="116"/>
      <c r="AAX17" s="116"/>
      <c r="AAY17" s="116"/>
      <c r="AAZ17" s="116"/>
      <c r="ABA17" s="116"/>
      <c r="ABB17" s="116"/>
      <c r="ABC17" s="116"/>
      <c r="ABD17" s="116"/>
      <c r="ABE17" s="116"/>
      <c r="ABF17" s="116"/>
      <c r="ABG17" s="116"/>
      <c r="ABH17" s="116"/>
      <c r="ABI17" s="116"/>
      <c r="ABJ17" s="116"/>
      <c r="ABK17" s="116"/>
      <c r="ABL17" s="116"/>
      <c r="ABM17" s="116"/>
      <c r="ABN17" s="116"/>
      <c r="ABO17" s="116"/>
      <c r="ABP17" s="116"/>
      <c r="ABQ17" s="116"/>
      <c r="ABR17" s="116"/>
      <c r="ABS17" s="116"/>
      <c r="ABT17" s="116"/>
      <c r="ABU17" s="116"/>
      <c r="ABV17" s="116"/>
      <c r="ABW17" s="116"/>
      <c r="ABX17" s="116"/>
      <c r="ABY17" s="116"/>
      <c r="ABZ17" s="116"/>
      <c r="ACA17" s="116"/>
      <c r="ACB17" s="116"/>
      <c r="ACC17" s="116"/>
      <c r="ACD17" s="116"/>
      <c r="ACE17" s="116"/>
      <c r="ACF17" s="116"/>
      <c r="ACG17" s="116"/>
      <c r="ACH17" s="116"/>
      <c r="ACI17" s="116"/>
      <c r="ACJ17" s="116"/>
      <c r="ACK17" s="116"/>
      <c r="ACL17" s="116"/>
      <c r="ACM17" s="116"/>
      <c r="ACN17" s="116"/>
      <c r="ACO17" s="116"/>
      <c r="ACP17" s="116"/>
      <c r="ACQ17" s="116"/>
      <c r="ACR17" s="116"/>
      <c r="ACS17" s="116"/>
      <c r="ACT17" s="116"/>
      <c r="ACU17" s="116"/>
      <c r="ACV17" s="116"/>
      <c r="ACW17" s="116"/>
      <c r="ACX17" s="116"/>
      <c r="ACY17" s="116"/>
      <c r="ACZ17" s="116"/>
      <c r="ADA17" s="116"/>
      <c r="ADB17" s="116"/>
      <c r="ADC17" s="116"/>
      <c r="ADD17" s="116"/>
      <c r="ADE17" s="116"/>
      <c r="ADF17" s="116"/>
      <c r="ADG17" s="116"/>
      <c r="ADH17" s="116"/>
      <c r="ADI17" s="116"/>
      <c r="ADJ17" s="116"/>
      <c r="ADK17" s="116"/>
      <c r="ADL17" s="116"/>
      <c r="ADM17" s="116"/>
      <c r="ADN17" s="116"/>
      <c r="ADO17" s="116"/>
      <c r="ADP17" s="116"/>
      <c r="ADQ17" s="116"/>
      <c r="ADR17" s="116"/>
      <c r="ADS17" s="116"/>
      <c r="ADT17" s="116"/>
      <c r="ADU17" s="116"/>
      <c r="ADV17" s="116"/>
      <c r="ADW17" s="116"/>
      <c r="ADX17" s="116"/>
      <c r="ADY17" s="116"/>
      <c r="ADZ17" s="116"/>
      <c r="AEA17" s="116"/>
      <c r="AEB17" s="116"/>
      <c r="AEC17" s="116"/>
      <c r="AED17" s="116"/>
      <c r="AEE17" s="116"/>
      <c r="AEF17" s="116"/>
      <c r="AEG17" s="116"/>
      <c r="AEH17" s="116"/>
      <c r="AEI17" s="116"/>
      <c r="AEJ17" s="116"/>
      <c r="AEK17" s="116"/>
      <c r="AEL17" s="116"/>
      <c r="AEM17" s="116"/>
      <c r="AEN17" s="116"/>
      <c r="AEO17" s="116"/>
      <c r="AEP17" s="116"/>
      <c r="AEQ17" s="116"/>
      <c r="AER17" s="116"/>
      <c r="AES17" s="116"/>
      <c r="AET17" s="116"/>
      <c r="AEU17" s="116"/>
      <c r="AEV17" s="116"/>
      <c r="AEW17" s="116"/>
      <c r="AEX17" s="116"/>
      <c r="AEY17" s="116"/>
      <c r="AEZ17" s="116"/>
      <c r="AFA17" s="116"/>
      <c r="AFB17" s="116"/>
      <c r="AFC17" s="116"/>
      <c r="AFD17" s="116"/>
      <c r="AFE17" s="116"/>
      <c r="AFF17" s="116"/>
      <c r="AFG17" s="116"/>
      <c r="AFH17" s="116"/>
      <c r="AFI17" s="116"/>
      <c r="AFJ17" s="116"/>
      <c r="AFK17" s="116"/>
      <c r="AFL17" s="116"/>
      <c r="AFM17" s="116"/>
      <c r="AFN17" s="116"/>
      <c r="AFO17" s="116"/>
      <c r="AFP17" s="116"/>
      <c r="AFQ17" s="116"/>
      <c r="AFR17" s="116"/>
      <c r="AFS17" s="116"/>
      <c r="AFT17" s="116"/>
      <c r="AFU17" s="116"/>
      <c r="AFV17" s="116"/>
      <c r="AFW17" s="116"/>
      <c r="AFX17" s="116"/>
      <c r="AFY17" s="116"/>
      <c r="AFZ17" s="116"/>
      <c r="AGA17" s="116"/>
      <c r="AGB17" s="116"/>
      <c r="AGC17" s="116"/>
      <c r="AGD17" s="116"/>
      <c r="AGE17" s="116"/>
      <c r="AGF17" s="116"/>
      <c r="AGG17" s="116"/>
      <c r="AGH17" s="116"/>
      <c r="AGI17" s="116"/>
      <c r="AGJ17" s="116"/>
      <c r="AGK17" s="116"/>
      <c r="AGL17" s="116"/>
      <c r="AGM17" s="116"/>
      <c r="AGN17" s="116"/>
      <c r="AGO17" s="116"/>
      <c r="AGP17" s="116"/>
      <c r="AGQ17" s="116"/>
      <c r="AGR17" s="116"/>
      <c r="AGS17" s="116"/>
      <c r="AGT17" s="116"/>
      <c r="AGU17" s="116"/>
      <c r="AGV17" s="116"/>
      <c r="AGW17" s="116"/>
      <c r="AGX17" s="116"/>
      <c r="AGY17" s="116"/>
      <c r="AGZ17" s="116"/>
      <c r="AHA17" s="116"/>
      <c r="AHB17" s="116"/>
      <c r="AHC17" s="116"/>
      <c r="AHD17" s="116"/>
      <c r="AHE17" s="116"/>
      <c r="AHF17" s="116"/>
      <c r="AHG17" s="116"/>
      <c r="AHH17" s="116"/>
      <c r="AHI17" s="116"/>
      <c r="AHJ17" s="116"/>
      <c r="AHK17" s="116"/>
      <c r="AHL17" s="116"/>
      <c r="AHM17" s="116"/>
      <c r="AHN17" s="116"/>
      <c r="AHO17" s="116"/>
      <c r="AHP17" s="116"/>
      <c r="AHQ17" s="116"/>
      <c r="AHR17" s="116"/>
      <c r="AHS17" s="116"/>
      <c r="AHT17" s="116"/>
      <c r="AHU17" s="116"/>
      <c r="AHV17" s="116"/>
      <c r="AHW17" s="116"/>
      <c r="AHX17" s="116"/>
      <c r="AHY17" s="116"/>
      <c r="AHZ17" s="116"/>
      <c r="AIA17" s="116"/>
      <c r="AIB17" s="116"/>
      <c r="AIC17" s="116"/>
      <c r="AID17" s="116"/>
      <c r="AIE17" s="116"/>
      <c r="AIF17" s="116"/>
      <c r="AIG17" s="116"/>
      <c r="AIH17" s="116"/>
      <c r="AII17" s="116"/>
      <c r="AIJ17" s="116"/>
      <c r="AIK17" s="116"/>
      <c r="AIL17" s="116"/>
      <c r="AIM17" s="116"/>
      <c r="AIN17" s="116"/>
      <c r="AIO17" s="116"/>
      <c r="AIP17" s="116"/>
      <c r="AIQ17" s="116"/>
      <c r="AIR17" s="116"/>
      <c r="AIS17" s="116"/>
      <c r="AIT17" s="116"/>
      <c r="AIU17" s="116"/>
      <c r="AIV17" s="116"/>
      <c r="AIW17" s="116"/>
      <c r="AIX17" s="116"/>
      <c r="AIY17" s="116"/>
      <c r="AIZ17" s="116"/>
      <c r="AJA17" s="116"/>
      <c r="AJB17" s="116"/>
      <c r="AJC17" s="116"/>
      <c r="AJD17" s="116"/>
      <c r="AJE17" s="116"/>
      <c r="AJF17" s="116"/>
      <c r="AJG17" s="116"/>
      <c r="AJH17" s="116"/>
      <c r="AJI17" s="116"/>
      <c r="AJJ17" s="116"/>
      <c r="AJK17" s="116"/>
      <c r="AJL17" s="116"/>
      <c r="AJM17" s="116"/>
      <c r="AJN17" s="116"/>
      <c r="AJO17" s="116"/>
      <c r="AJP17" s="116"/>
      <c r="AJQ17" s="116"/>
      <c r="AJR17" s="116"/>
      <c r="AJS17" s="116"/>
      <c r="AJT17" s="116"/>
      <c r="AJU17" s="116"/>
      <c r="AJV17" s="116"/>
      <c r="AJW17" s="116"/>
      <c r="AJX17" s="116"/>
      <c r="AJY17" s="116"/>
      <c r="AJZ17" s="116"/>
      <c r="AKA17" s="116"/>
      <c r="AKB17" s="116"/>
      <c r="AKC17" s="116"/>
      <c r="AKD17" s="116"/>
      <c r="AKE17" s="116"/>
      <c r="AKF17" s="116"/>
      <c r="AKG17" s="116"/>
      <c r="AKH17" s="116"/>
      <c r="AKI17" s="116"/>
      <c r="AKJ17" s="116"/>
      <c r="AKK17" s="116"/>
      <c r="AKL17" s="116"/>
      <c r="AKM17" s="116"/>
      <c r="AKN17" s="116"/>
      <c r="AKO17" s="116"/>
      <c r="AKP17" s="116"/>
    </row>
    <row r="18" spans="1:978" s="101" customFormat="1" ht="14.4" x14ac:dyDescent="0.3">
      <c r="A18" s="83" t="s">
        <v>135</v>
      </c>
      <c r="B18" s="83">
        <f>B15*B16</f>
        <v>34253559200.000004</v>
      </c>
      <c r="C18" s="83" t="s">
        <v>154</v>
      </c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115"/>
      <c r="R18" s="115"/>
      <c r="S18" s="115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  <c r="IW18" s="116"/>
      <c r="IX18" s="116"/>
      <c r="IY18" s="116"/>
      <c r="IZ18" s="116"/>
      <c r="JA18" s="116"/>
      <c r="JB18" s="116"/>
      <c r="JC18" s="116"/>
      <c r="JD18" s="116"/>
      <c r="JE18" s="116"/>
      <c r="JF18" s="116"/>
      <c r="JG18" s="116"/>
      <c r="JH18" s="116"/>
      <c r="JI18" s="116"/>
      <c r="JJ18" s="116"/>
      <c r="JK18" s="116"/>
      <c r="JL18" s="116"/>
      <c r="JM18" s="116"/>
      <c r="JN18" s="116"/>
      <c r="JO18" s="116"/>
      <c r="JP18" s="116"/>
      <c r="JQ18" s="116"/>
      <c r="JR18" s="116"/>
      <c r="JS18" s="116"/>
      <c r="JT18" s="116"/>
      <c r="JU18" s="116"/>
      <c r="JV18" s="116"/>
      <c r="JW18" s="116"/>
      <c r="JX18" s="116"/>
      <c r="JY18" s="116"/>
      <c r="JZ18" s="116"/>
      <c r="KA18" s="116"/>
      <c r="KB18" s="116"/>
      <c r="KC18" s="116"/>
      <c r="KD18" s="116"/>
      <c r="KE18" s="116"/>
      <c r="KF18" s="116"/>
      <c r="KG18" s="116"/>
      <c r="KH18" s="116"/>
      <c r="KI18" s="116"/>
      <c r="KJ18" s="116"/>
      <c r="KK18" s="116"/>
      <c r="KL18" s="116"/>
      <c r="KM18" s="116"/>
      <c r="KN18" s="116"/>
      <c r="KO18" s="116"/>
      <c r="KP18" s="116"/>
      <c r="KQ18" s="116"/>
      <c r="KR18" s="116"/>
      <c r="KS18" s="116"/>
      <c r="KT18" s="116"/>
      <c r="KU18" s="116"/>
      <c r="KV18" s="116"/>
      <c r="KW18" s="116"/>
      <c r="KX18" s="116"/>
      <c r="KY18" s="116"/>
      <c r="KZ18" s="116"/>
      <c r="LA18" s="116"/>
      <c r="LB18" s="116"/>
      <c r="LC18" s="116"/>
      <c r="LD18" s="116"/>
      <c r="LE18" s="116"/>
      <c r="LF18" s="116"/>
      <c r="LG18" s="116"/>
      <c r="LH18" s="116"/>
      <c r="LI18" s="116"/>
      <c r="LJ18" s="116"/>
      <c r="LK18" s="116"/>
      <c r="LL18" s="116"/>
      <c r="LM18" s="116"/>
      <c r="LN18" s="116"/>
      <c r="LO18" s="116"/>
      <c r="LP18" s="116"/>
      <c r="LQ18" s="116"/>
      <c r="LR18" s="116"/>
      <c r="LS18" s="116"/>
      <c r="LT18" s="116"/>
      <c r="LU18" s="116"/>
      <c r="LV18" s="116"/>
      <c r="LW18" s="116"/>
      <c r="LX18" s="116"/>
      <c r="LY18" s="116"/>
      <c r="LZ18" s="116"/>
      <c r="MA18" s="116"/>
      <c r="MB18" s="116"/>
      <c r="MC18" s="116"/>
      <c r="MD18" s="116"/>
      <c r="ME18" s="116"/>
      <c r="MF18" s="116"/>
      <c r="MG18" s="116"/>
      <c r="MH18" s="116"/>
      <c r="MI18" s="116"/>
      <c r="MJ18" s="116"/>
      <c r="MK18" s="116"/>
      <c r="ML18" s="116"/>
      <c r="MM18" s="116"/>
      <c r="MN18" s="116"/>
      <c r="MO18" s="116"/>
      <c r="MP18" s="116"/>
      <c r="MQ18" s="116"/>
      <c r="MR18" s="116"/>
      <c r="MS18" s="116"/>
      <c r="MT18" s="116"/>
      <c r="MU18" s="116"/>
      <c r="MV18" s="116"/>
      <c r="MW18" s="116"/>
      <c r="MX18" s="116"/>
      <c r="MY18" s="116"/>
      <c r="MZ18" s="116"/>
      <c r="NA18" s="116"/>
      <c r="NB18" s="116"/>
      <c r="NC18" s="116"/>
      <c r="ND18" s="116"/>
      <c r="NE18" s="116"/>
      <c r="NF18" s="116"/>
      <c r="NG18" s="116"/>
      <c r="NH18" s="116"/>
      <c r="NI18" s="116"/>
      <c r="NJ18" s="116"/>
      <c r="NK18" s="116"/>
      <c r="NL18" s="116"/>
      <c r="NM18" s="116"/>
      <c r="NN18" s="116"/>
      <c r="NO18" s="116"/>
      <c r="NP18" s="116"/>
      <c r="NQ18" s="116"/>
      <c r="NR18" s="116"/>
      <c r="NS18" s="116"/>
      <c r="NT18" s="116"/>
      <c r="NU18" s="116"/>
      <c r="NV18" s="116"/>
      <c r="NW18" s="116"/>
      <c r="NX18" s="116"/>
      <c r="NY18" s="116"/>
      <c r="NZ18" s="116"/>
      <c r="OA18" s="116"/>
      <c r="OB18" s="116"/>
      <c r="OC18" s="116"/>
      <c r="OD18" s="116"/>
      <c r="OE18" s="116"/>
      <c r="OF18" s="116"/>
      <c r="OG18" s="116"/>
      <c r="OH18" s="116"/>
      <c r="OI18" s="116"/>
      <c r="OJ18" s="116"/>
      <c r="OK18" s="116"/>
      <c r="OL18" s="116"/>
      <c r="OM18" s="116"/>
      <c r="ON18" s="116"/>
      <c r="OO18" s="116"/>
      <c r="OP18" s="116"/>
      <c r="OQ18" s="116"/>
      <c r="OR18" s="116"/>
      <c r="OS18" s="116"/>
      <c r="OT18" s="116"/>
      <c r="OU18" s="116"/>
      <c r="OV18" s="116"/>
      <c r="OW18" s="116"/>
      <c r="OX18" s="116"/>
      <c r="OY18" s="116"/>
      <c r="OZ18" s="116"/>
      <c r="PA18" s="116"/>
      <c r="PB18" s="116"/>
      <c r="PC18" s="116"/>
      <c r="PD18" s="116"/>
      <c r="PE18" s="116"/>
      <c r="PF18" s="116"/>
      <c r="PG18" s="116"/>
      <c r="PH18" s="116"/>
      <c r="PI18" s="116"/>
      <c r="PJ18" s="116"/>
      <c r="PK18" s="116"/>
      <c r="PL18" s="116"/>
      <c r="PM18" s="116"/>
      <c r="PN18" s="116"/>
      <c r="PO18" s="116"/>
      <c r="PP18" s="116"/>
      <c r="PQ18" s="116"/>
      <c r="PR18" s="116"/>
      <c r="PS18" s="116"/>
      <c r="PT18" s="116"/>
      <c r="PU18" s="116"/>
      <c r="PV18" s="116"/>
      <c r="PW18" s="116"/>
      <c r="PX18" s="116"/>
      <c r="PY18" s="116"/>
      <c r="PZ18" s="116"/>
      <c r="QA18" s="116"/>
      <c r="QB18" s="116"/>
      <c r="QC18" s="116"/>
      <c r="QD18" s="116"/>
      <c r="QE18" s="116"/>
      <c r="QF18" s="116"/>
      <c r="QG18" s="116"/>
      <c r="QH18" s="116"/>
      <c r="QI18" s="116"/>
      <c r="QJ18" s="116"/>
      <c r="QK18" s="116"/>
      <c r="QL18" s="116"/>
      <c r="QM18" s="116"/>
      <c r="QN18" s="116"/>
      <c r="QO18" s="116"/>
      <c r="QP18" s="116"/>
      <c r="QQ18" s="116"/>
      <c r="QR18" s="116"/>
      <c r="QS18" s="116"/>
      <c r="QT18" s="116"/>
      <c r="QU18" s="116"/>
      <c r="QV18" s="116"/>
      <c r="QW18" s="116"/>
      <c r="QX18" s="116"/>
      <c r="QY18" s="116"/>
      <c r="QZ18" s="116"/>
      <c r="RA18" s="116"/>
      <c r="RB18" s="116"/>
      <c r="RC18" s="116"/>
      <c r="RD18" s="116"/>
      <c r="RE18" s="116"/>
      <c r="RF18" s="116"/>
      <c r="RG18" s="116"/>
      <c r="RH18" s="116"/>
      <c r="RI18" s="116"/>
      <c r="RJ18" s="116"/>
      <c r="RK18" s="116"/>
      <c r="RL18" s="116"/>
      <c r="RM18" s="116"/>
      <c r="RN18" s="116"/>
      <c r="RO18" s="116"/>
      <c r="RP18" s="116"/>
      <c r="RQ18" s="116"/>
      <c r="RR18" s="116"/>
      <c r="RS18" s="116"/>
      <c r="RT18" s="116"/>
      <c r="RU18" s="116"/>
      <c r="RV18" s="116"/>
      <c r="RW18" s="116"/>
      <c r="RX18" s="116"/>
      <c r="RY18" s="116"/>
      <c r="RZ18" s="116"/>
      <c r="SA18" s="116"/>
      <c r="SB18" s="116"/>
      <c r="SC18" s="116"/>
      <c r="SD18" s="116"/>
      <c r="SE18" s="116"/>
      <c r="SF18" s="116"/>
      <c r="SG18" s="116"/>
      <c r="SH18" s="116"/>
      <c r="SI18" s="116"/>
      <c r="SJ18" s="116"/>
      <c r="SK18" s="116"/>
      <c r="SL18" s="116"/>
      <c r="SM18" s="116"/>
      <c r="SN18" s="116"/>
      <c r="SO18" s="116"/>
      <c r="SP18" s="116"/>
      <c r="SQ18" s="116"/>
      <c r="SR18" s="116"/>
      <c r="SS18" s="116"/>
      <c r="ST18" s="116"/>
      <c r="SU18" s="116"/>
      <c r="SV18" s="116"/>
      <c r="SW18" s="116"/>
      <c r="SX18" s="116"/>
      <c r="SY18" s="116"/>
      <c r="SZ18" s="116"/>
      <c r="TA18" s="116"/>
      <c r="TB18" s="116"/>
      <c r="TC18" s="116"/>
      <c r="TD18" s="116"/>
      <c r="TE18" s="116"/>
      <c r="TF18" s="116"/>
      <c r="TG18" s="116"/>
      <c r="TH18" s="116"/>
      <c r="TI18" s="116"/>
      <c r="TJ18" s="116"/>
      <c r="TK18" s="116"/>
      <c r="TL18" s="116"/>
      <c r="TM18" s="116"/>
      <c r="TN18" s="116"/>
      <c r="TO18" s="116"/>
      <c r="TP18" s="116"/>
      <c r="TQ18" s="116"/>
      <c r="TR18" s="116"/>
      <c r="TS18" s="116"/>
      <c r="TT18" s="116"/>
      <c r="TU18" s="116"/>
      <c r="TV18" s="116"/>
      <c r="TW18" s="116"/>
      <c r="TX18" s="116"/>
      <c r="TY18" s="116"/>
      <c r="TZ18" s="116"/>
      <c r="UA18" s="116"/>
      <c r="UB18" s="116"/>
      <c r="UC18" s="116"/>
      <c r="UD18" s="116"/>
      <c r="UE18" s="116"/>
      <c r="UF18" s="116"/>
      <c r="UG18" s="116"/>
      <c r="UH18" s="116"/>
      <c r="UI18" s="116"/>
      <c r="UJ18" s="116"/>
      <c r="UK18" s="116"/>
      <c r="UL18" s="116"/>
      <c r="UM18" s="116"/>
      <c r="UN18" s="116"/>
      <c r="UO18" s="116"/>
      <c r="UP18" s="116"/>
      <c r="UQ18" s="116"/>
      <c r="UR18" s="116"/>
      <c r="US18" s="116"/>
      <c r="UT18" s="116"/>
      <c r="UU18" s="116"/>
      <c r="UV18" s="116"/>
      <c r="UW18" s="116"/>
      <c r="UX18" s="116"/>
      <c r="UY18" s="116"/>
      <c r="UZ18" s="116"/>
      <c r="VA18" s="116"/>
      <c r="VB18" s="116"/>
      <c r="VC18" s="116"/>
      <c r="VD18" s="116"/>
      <c r="VE18" s="116"/>
      <c r="VF18" s="116"/>
      <c r="VG18" s="116"/>
      <c r="VH18" s="116"/>
      <c r="VI18" s="116"/>
      <c r="VJ18" s="116"/>
      <c r="VK18" s="116"/>
      <c r="VL18" s="116"/>
      <c r="VM18" s="116"/>
      <c r="VN18" s="116"/>
      <c r="VO18" s="116"/>
      <c r="VP18" s="116"/>
      <c r="VQ18" s="116"/>
      <c r="VR18" s="116"/>
      <c r="VS18" s="116"/>
      <c r="VT18" s="116"/>
      <c r="VU18" s="116"/>
      <c r="VV18" s="116"/>
      <c r="VW18" s="116"/>
      <c r="VX18" s="116"/>
      <c r="VY18" s="116"/>
      <c r="VZ18" s="116"/>
      <c r="WA18" s="116"/>
      <c r="WB18" s="116"/>
      <c r="WC18" s="116"/>
      <c r="WD18" s="116"/>
      <c r="WE18" s="116"/>
      <c r="WF18" s="116"/>
      <c r="WG18" s="116"/>
      <c r="WH18" s="116"/>
      <c r="WI18" s="116"/>
      <c r="WJ18" s="116"/>
      <c r="WK18" s="116"/>
      <c r="WL18" s="116"/>
      <c r="WM18" s="116"/>
      <c r="WN18" s="116"/>
      <c r="WO18" s="116"/>
      <c r="WP18" s="116"/>
      <c r="WQ18" s="116"/>
      <c r="WR18" s="116"/>
      <c r="WS18" s="116"/>
      <c r="WT18" s="116"/>
      <c r="WU18" s="116"/>
      <c r="WV18" s="116"/>
      <c r="WW18" s="116"/>
      <c r="WX18" s="116"/>
      <c r="WY18" s="116"/>
      <c r="WZ18" s="116"/>
      <c r="XA18" s="116"/>
      <c r="XB18" s="116"/>
      <c r="XC18" s="116"/>
      <c r="XD18" s="116"/>
      <c r="XE18" s="116"/>
      <c r="XF18" s="116"/>
      <c r="XG18" s="116"/>
      <c r="XH18" s="116"/>
      <c r="XI18" s="116"/>
      <c r="XJ18" s="116"/>
      <c r="XK18" s="116"/>
      <c r="XL18" s="116"/>
      <c r="XM18" s="116"/>
      <c r="XN18" s="116"/>
      <c r="XO18" s="116"/>
      <c r="XP18" s="116"/>
      <c r="XQ18" s="116"/>
      <c r="XR18" s="116"/>
      <c r="XS18" s="116"/>
      <c r="XT18" s="116"/>
      <c r="XU18" s="116"/>
      <c r="XV18" s="116"/>
      <c r="XW18" s="116"/>
      <c r="XX18" s="116"/>
      <c r="XY18" s="116"/>
      <c r="XZ18" s="116"/>
      <c r="YA18" s="116"/>
      <c r="YB18" s="116"/>
      <c r="YC18" s="116"/>
      <c r="YD18" s="116"/>
      <c r="YE18" s="116"/>
      <c r="YF18" s="116"/>
      <c r="YG18" s="116"/>
      <c r="YH18" s="116"/>
      <c r="YI18" s="116"/>
      <c r="YJ18" s="116"/>
      <c r="YK18" s="116"/>
      <c r="YL18" s="116"/>
      <c r="YM18" s="116"/>
      <c r="YN18" s="116"/>
      <c r="YO18" s="116"/>
      <c r="YP18" s="116"/>
      <c r="YQ18" s="116"/>
      <c r="YR18" s="116"/>
      <c r="YS18" s="116"/>
      <c r="YT18" s="116"/>
      <c r="YU18" s="116"/>
      <c r="YV18" s="116"/>
      <c r="YW18" s="116"/>
      <c r="YX18" s="116"/>
      <c r="YY18" s="116"/>
      <c r="YZ18" s="116"/>
      <c r="ZA18" s="116"/>
      <c r="ZB18" s="116"/>
      <c r="ZC18" s="116"/>
      <c r="ZD18" s="116"/>
      <c r="ZE18" s="116"/>
      <c r="ZF18" s="116"/>
      <c r="ZG18" s="116"/>
      <c r="ZH18" s="116"/>
      <c r="ZI18" s="116"/>
      <c r="ZJ18" s="116"/>
      <c r="ZK18" s="116"/>
      <c r="ZL18" s="116"/>
      <c r="ZM18" s="116"/>
      <c r="ZN18" s="116"/>
      <c r="ZO18" s="116"/>
      <c r="ZP18" s="116"/>
      <c r="ZQ18" s="116"/>
      <c r="ZR18" s="116"/>
      <c r="ZS18" s="116"/>
      <c r="ZT18" s="116"/>
      <c r="ZU18" s="116"/>
      <c r="ZV18" s="116"/>
      <c r="ZW18" s="116"/>
      <c r="ZX18" s="116"/>
      <c r="ZY18" s="116"/>
      <c r="ZZ18" s="116"/>
      <c r="AAA18" s="116"/>
      <c r="AAB18" s="116"/>
      <c r="AAC18" s="116"/>
      <c r="AAD18" s="116"/>
      <c r="AAE18" s="116"/>
      <c r="AAF18" s="116"/>
      <c r="AAG18" s="116"/>
      <c r="AAH18" s="116"/>
      <c r="AAI18" s="116"/>
      <c r="AAJ18" s="116"/>
      <c r="AAK18" s="116"/>
      <c r="AAL18" s="116"/>
      <c r="AAM18" s="116"/>
      <c r="AAN18" s="116"/>
      <c r="AAO18" s="116"/>
      <c r="AAP18" s="116"/>
      <c r="AAQ18" s="116"/>
      <c r="AAR18" s="116"/>
      <c r="AAS18" s="116"/>
      <c r="AAT18" s="116"/>
      <c r="AAU18" s="116"/>
      <c r="AAV18" s="116"/>
      <c r="AAW18" s="116"/>
      <c r="AAX18" s="116"/>
      <c r="AAY18" s="116"/>
      <c r="AAZ18" s="116"/>
      <c r="ABA18" s="116"/>
      <c r="ABB18" s="116"/>
      <c r="ABC18" s="116"/>
      <c r="ABD18" s="116"/>
      <c r="ABE18" s="116"/>
      <c r="ABF18" s="116"/>
      <c r="ABG18" s="116"/>
      <c r="ABH18" s="116"/>
      <c r="ABI18" s="116"/>
      <c r="ABJ18" s="116"/>
      <c r="ABK18" s="116"/>
      <c r="ABL18" s="116"/>
      <c r="ABM18" s="116"/>
      <c r="ABN18" s="116"/>
      <c r="ABO18" s="116"/>
      <c r="ABP18" s="116"/>
      <c r="ABQ18" s="116"/>
      <c r="ABR18" s="116"/>
      <c r="ABS18" s="116"/>
      <c r="ABT18" s="116"/>
      <c r="ABU18" s="116"/>
      <c r="ABV18" s="116"/>
      <c r="ABW18" s="116"/>
      <c r="ABX18" s="116"/>
      <c r="ABY18" s="116"/>
      <c r="ABZ18" s="116"/>
      <c r="ACA18" s="116"/>
      <c r="ACB18" s="116"/>
      <c r="ACC18" s="116"/>
      <c r="ACD18" s="116"/>
      <c r="ACE18" s="116"/>
      <c r="ACF18" s="116"/>
      <c r="ACG18" s="116"/>
      <c r="ACH18" s="116"/>
      <c r="ACI18" s="116"/>
      <c r="ACJ18" s="116"/>
      <c r="ACK18" s="116"/>
      <c r="ACL18" s="116"/>
      <c r="ACM18" s="116"/>
      <c r="ACN18" s="116"/>
      <c r="ACO18" s="116"/>
      <c r="ACP18" s="116"/>
      <c r="ACQ18" s="116"/>
      <c r="ACR18" s="116"/>
      <c r="ACS18" s="116"/>
      <c r="ACT18" s="116"/>
      <c r="ACU18" s="116"/>
      <c r="ACV18" s="116"/>
      <c r="ACW18" s="116"/>
      <c r="ACX18" s="116"/>
      <c r="ACY18" s="116"/>
      <c r="ACZ18" s="116"/>
      <c r="ADA18" s="116"/>
      <c r="ADB18" s="116"/>
      <c r="ADC18" s="116"/>
      <c r="ADD18" s="116"/>
      <c r="ADE18" s="116"/>
      <c r="ADF18" s="116"/>
      <c r="ADG18" s="116"/>
      <c r="ADH18" s="116"/>
      <c r="ADI18" s="116"/>
      <c r="ADJ18" s="116"/>
      <c r="ADK18" s="116"/>
      <c r="ADL18" s="116"/>
      <c r="ADM18" s="116"/>
      <c r="ADN18" s="116"/>
      <c r="ADO18" s="116"/>
      <c r="ADP18" s="116"/>
      <c r="ADQ18" s="116"/>
      <c r="ADR18" s="116"/>
      <c r="ADS18" s="116"/>
      <c r="ADT18" s="116"/>
      <c r="ADU18" s="116"/>
      <c r="ADV18" s="116"/>
      <c r="ADW18" s="116"/>
      <c r="ADX18" s="116"/>
      <c r="ADY18" s="116"/>
      <c r="ADZ18" s="116"/>
      <c r="AEA18" s="116"/>
      <c r="AEB18" s="116"/>
      <c r="AEC18" s="116"/>
      <c r="AED18" s="116"/>
      <c r="AEE18" s="116"/>
      <c r="AEF18" s="116"/>
      <c r="AEG18" s="116"/>
      <c r="AEH18" s="116"/>
      <c r="AEI18" s="116"/>
      <c r="AEJ18" s="116"/>
      <c r="AEK18" s="116"/>
      <c r="AEL18" s="116"/>
      <c r="AEM18" s="116"/>
      <c r="AEN18" s="116"/>
      <c r="AEO18" s="116"/>
      <c r="AEP18" s="116"/>
      <c r="AEQ18" s="116"/>
      <c r="AER18" s="116"/>
      <c r="AES18" s="116"/>
      <c r="AET18" s="116"/>
      <c r="AEU18" s="116"/>
      <c r="AEV18" s="116"/>
      <c r="AEW18" s="116"/>
      <c r="AEX18" s="116"/>
      <c r="AEY18" s="116"/>
      <c r="AEZ18" s="116"/>
      <c r="AFA18" s="116"/>
      <c r="AFB18" s="116"/>
      <c r="AFC18" s="116"/>
      <c r="AFD18" s="116"/>
      <c r="AFE18" s="116"/>
      <c r="AFF18" s="116"/>
      <c r="AFG18" s="116"/>
      <c r="AFH18" s="116"/>
      <c r="AFI18" s="116"/>
      <c r="AFJ18" s="116"/>
      <c r="AFK18" s="116"/>
      <c r="AFL18" s="116"/>
      <c r="AFM18" s="116"/>
      <c r="AFN18" s="116"/>
      <c r="AFO18" s="116"/>
      <c r="AFP18" s="116"/>
      <c r="AFQ18" s="116"/>
      <c r="AFR18" s="116"/>
      <c r="AFS18" s="116"/>
      <c r="AFT18" s="116"/>
      <c r="AFU18" s="116"/>
      <c r="AFV18" s="116"/>
      <c r="AFW18" s="116"/>
      <c r="AFX18" s="116"/>
      <c r="AFY18" s="116"/>
      <c r="AFZ18" s="116"/>
      <c r="AGA18" s="116"/>
      <c r="AGB18" s="116"/>
      <c r="AGC18" s="116"/>
      <c r="AGD18" s="116"/>
      <c r="AGE18" s="116"/>
      <c r="AGF18" s="116"/>
      <c r="AGG18" s="116"/>
      <c r="AGH18" s="116"/>
      <c r="AGI18" s="116"/>
      <c r="AGJ18" s="116"/>
      <c r="AGK18" s="116"/>
      <c r="AGL18" s="116"/>
      <c r="AGM18" s="116"/>
      <c r="AGN18" s="116"/>
      <c r="AGO18" s="116"/>
      <c r="AGP18" s="116"/>
      <c r="AGQ18" s="116"/>
      <c r="AGR18" s="116"/>
      <c r="AGS18" s="116"/>
      <c r="AGT18" s="116"/>
      <c r="AGU18" s="116"/>
      <c r="AGV18" s="116"/>
      <c r="AGW18" s="116"/>
      <c r="AGX18" s="116"/>
      <c r="AGY18" s="116"/>
      <c r="AGZ18" s="116"/>
      <c r="AHA18" s="116"/>
      <c r="AHB18" s="116"/>
      <c r="AHC18" s="116"/>
      <c r="AHD18" s="116"/>
      <c r="AHE18" s="116"/>
      <c r="AHF18" s="116"/>
      <c r="AHG18" s="116"/>
      <c r="AHH18" s="116"/>
      <c r="AHI18" s="116"/>
      <c r="AHJ18" s="116"/>
      <c r="AHK18" s="116"/>
      <c r="AHL18" s="116"/>
      <c r="AHM18" s="116"/>
      <c r="AHN18" s="116"/>
      <c r="AHO18" s="116"/>
      <c r="AHP18" s="116"/>
      <c r="AHQ18" s="116"/>
      <c r="AHR18" s="116"/>
      <c r="AHS18" s="116"/>
      <c r="AHT18" s="116"/>
      <c r="AHU18" s="116"/>
      <c r="AHV18" s="116"/>
      <c r="AHW18" s="116"/>
      <c r="AHX18" s="116"/>
      <c r="AHY18" s="116"/>
      <c r="AHZ18" s="116"/>
      <c r="AIA18" s="116"/>
      <c r="AIB18" s="116"/>
      <c r="AIC18" s="116"/>
      <c r="AID18" s="116"/>
      <c r="AIE18" s="116"/>
      <c r="AIF18" s="116"/>
      <c r="AIG18" s="116"/>
      <c r="AIH18" s="116"/>
      <c r="AII18" s="116"/>
      <c r="AIJ18" s="116"/>
      <c r="AIK18" s="116"/>
      <c r="AIL18" s="116"/>
      <c r="AIM18" s="116"/>
      <c r="AIN18" s="116"/>
      <c r="AIO18" s="116"/>
      <c r="AIP18" s="116"/>
      <c r="AIQ18" s="116"/>
      <c r="AIR18" s="116"/>
      <c r="AIS18" s="116"/>
      <c r="AIT18" s="116"/>
      <c r="AIU18" s="116"/>
      <c r="AIV18" s="116"/>
      <c r="AIW18" s="116"/>
      <c r="AIX18" s="116"/>
      <c r="AIY18" s="116"/>
      <c r="AIZ18" s="116"/>
      <c r="AJA18" s="116"/>
      <c r="AJB18" s="116"/>
      <c r="AJC18" s="116"/>
      <c r="AJD18" s="116"/>
      <c r="AJE18" s="116"/>
      <c r="AJF18" s="116"/>
      <c r="AJG18" s="116"/>
      <c r="AJH18" s="116"/>
      <c r="AJI18" s="116"/>
      <c r="AJJ18" s="116"/>
      <c r="AJK18" s="116"/>
      <c r="AJL18" s="116"/>
      <c r="AJM18" s="116"/>
      <c r="AJN18" s="116"/>
      <c r="AJO18" s="116"/>
      <c r="AJP18" s="116"/>
      <c r="AJQ18" s="116"/>
      <c r="AJR18" s="116"/>
      <c r="AJS18" s="116"/>
      <c r="AJT18" s="116"/>
      <c r="AJU18" s="116"/>
      <c r="AJV18" s="116"/>
      <c r="AJW18" s="116"/>
      <c r="AJX18" s="116"/>
      <c r="AJY18" s="116"/>
      <c r="AJZ18" s="116"/>
      <c r="AKA18" s="116"/>
      <c r="AKB18" s="116"/>
      <c r="AKC18" s="116"/>
      <c r="AKD18" s="116"/>
      <c r="AKE18" s="116"/>
      <c r="AKF18" s="116"/>
      <c r="AKG18" s="116"/>
      <c r="AKH18" s="116"/>
      <c r="AKI18" s="116"/>
      <c r="AKJ18" s="116"/>
      <c r="AKK18" s="116"/>
      <c r="AKL18" s="116"/>
      <c r="AKM18" s="116"/>
      <c r="AKN18" s="116"/>
      <c r="AKO18" s="116"/>
      <c r="AKP18" s="116"/>
    </row>
    <row r="19" spans="1:978" ht="14.4" x14ac:dyDescent="0.3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</row>
    <row r="20" spans="1:978" ht="23.4" x14ac:dyDescent="0.45">
      <c r="A20" s="110" t="s">
        <v>167</v>
      </c>
      <c r="B20" s="110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</row>
    <row r="21" spans="1:978" ht="14.4" x14ac:dyDescent="0.3">
      <c r="A21" s="122" t="s">
        <v>112</v>
      </c>
      <c r="B21" s="96">
        <v>2024</v>
      </c>
      <c r="C21" s="83"/>
      <c r="D21" s="83"/>
      <c r="E21" s="83"/>
      <c r="F21" s="83"/>
      <c r="G21" s="83"/>
      <c r="H21" s="83"/>
      <c r="J21" s="83"/>
      <c r="K21" s="83"/>
      <c r="L21" s="83"/>
      <c r="M21" s="83"/>
      <c r="N21" s="83"/>
      <c r="O21" s="83"/>
      <c r="P21" s="83"/>
      <c r="Q21" s="83"/>
      <c r="R21" s="83"/>
      <c r="S21" s="83"/>
    </row>
    <row r="22" spans="1:978" ht="76.5" customHeight="1" x14ac:dyDescent="0.3">
      <c r="A22" s="125" t="s">
        <v>124</v>
      </c>
      <c r="B22" s="126">
        <f>(BS!M22+BS!M23+BS!M25)*1000</f>
        <v>5102151000</v>
      </c>
      <c r="C22" s="127" t="s">
        <v>171</v>
      </c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</row>
    <row r="23" spans="1:978" ht="14.4" x14ac:dyDescent="0.3">
      <c r="A23" s="123" t="s">
        <v>125</v>
      </c>
      <c r="B23" s="89">
        <f>B18</f>
        <v>34253559200.000004</v>
      </c>
      <c r="C23" s="118" t="s">
        <v>168</v>
      </c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</row>
    <row r="24" spans="1:978" ht="14.4" x14ac:dyDescent="0.3">
      <c r="A24" s="123" t="s">
        <v>126</v>
      </c>
      <c r="B24" s="89">
        <f t="shared" ref="B24:G24" si="0">B22+B23</f>
        <v>39355710200</v>
      </c>
      <c r="C24" s="118" t="s">
        <v>169</v>
      </c>
      <c r="D24" s="89"/>
      <c r="E24" s="89"/>
      <c r="F24" s="89"/>
      <c r="G24" s="89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</row>
    <row r="25" spans="1:978" ht="14.4" x14ac:dyDescent="0.3">
      <c r="A25" s="123" t="s">
        <v>127</v>
      </c>
      <c r="B25" s="85">
        <f t="shared" ref="B25:G25" si="1">B22/B24</f>
        <v>0.12964194964521311</v>
      </c>
      <c r="C25" s="118"/>
      <c r="E25" s="85"/>
      <c r="F25" s="85"/>
      <c r="G25" s="85"/>
      <c r="H25" s="85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</row>
    <row r="26" spans="1:978" ht="14.4" x14ac:dyDescent="0.3">
      <c r="A26" s="123" t="s">
        <v>128</v>
      </c>
      <c r="B26" s="85">
        <f t="shared" ref="B26:G26" si="2">B23/B24</f>
        <v>0.87035805035478697</v>
      </c>
      <c r="C26" s="85"/>
      <c r="D26" s="85"/>
      <c r="E26" s="85"/>
      <c r="F26" s="85"/>
      <c r="G26" s="85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</row>
    <row r="27" spans="1:978" ht="14.4" x14ac:dyDescent="0.3">
      <c r="A27" s="123" t="s">
        <v>129</v>
      </c>
      <c r="B27" s="85">
        <f t="shared" ref="B27" si="3">$B$12</f>
        <v>5.1999999999999998E-2</v>
      </c>
      <c r="C27" s="85"/>
      <c r="D27" s="85"/>
      <c r="E27" s="85"/>
      <c r="F27" s="85"/>
      <c r="G27" s="85"/>
      <c r="H27" s="85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</row>
    <row r="28" spans="1:978" ht="14.4" x14ac:dyDescent="0.3">
      <c r="A28" s="123" t="s">
        <v>130</v>
      </c>
      <c r="B28" s="85">
        <f t="shared" ref="B28" si="4">$B$11</f>
        <v>5.8299999999999998E-2</v>
      </c>
      <c r="C28" s="85"/>
      <c r="D28" s="85"/>
      <c r="E28" s="85"/>
      <c r="F28" s="85"/>
      <c r="G28" s="85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</row>
    <row r="29" spans="1:978" ht="14.4" x14ac:dyDescent="0.3">
      <c r="A29" s="123" t="s">
        <v>131</v>
      </c>
      <c r="B29" s="94">
        <f>$B$7</f>
        <v>0.21</v>
      </c>
      <c r="C29" s="94"/>
      <c r="D29" s="94"/>
      <c r="E29" s="94"/>
      <c r="F29" s="94"/>
      <c r="G29" s="94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</row>
    <row r="30" spans="1:978" ht="28.8" x14ac:dyDescent="0.3">
      <c r="A30" s="124" t="s">
        <v>112</v>
      </c>
      <c r="B30" s="112">
        <f>B26*B28+(B25*B27*(1-B29))</f>
        <v>5.6067565627109434E-2</v>
      </c>
      <c r="C30" s="99" t="s">
        <v>136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</row>
    <row r="31" spans="1:978" ht="14.4" x14ac:dyDescent="0.3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</row>
    <row r="33" spans="3:7" ht="14.4" x14ac:dyDescent="0.3">
      <c r="C33" s="85"/>
      <c r="D33" s="85"/>
      <c r="E33" s="85"/>
      <c r="F33" s="85"/>
      <c r="G33" s="85"/>
    </row>
  </sheetData>
  <mergeCells count="2">
    <mergeCell ref="A1:S1"/>
    <mergeCell ref="A20:B20"/>
  </mergeCells>
  <hyperlinks>
    <hyperlink ref="C6" r:id="rId1" xr:uid="{FC8A16FE-230A-4698-8A61-7A2201041FC4}"/>
    <hyperlink ref="C15" r:id="rId2" xr:uid="{6519D1DD-0441-4326-8A20-FA75F8892243}"/>
    <hyperlink ref="C16" r:id="rId3" xr:uid="{74A6AB23-9F0A-40E5-826D-C464D0C9F41D}"/>
    <hyperlink ref="C8" r:id="rId4" xr:uid="{B0FAEF30-EA31-4C7B-AA5C-1199C0CC5686}"/>
    <hyperlink ref="C4" r:id="rId5" xr:uid="{25547AE5-84A2-4019-B6FC-40BF436E01E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726C3-8AED-1040-8E39-2CAD5D383F76}">
  <dimension ref="A1:J22"/>
  <sheetViews>
    <sheetView workbookViewId="0">
      <selection activeCell="C11" sqref="C11"/>
    </sheetView>
  </sheetViews>
  <sheetFormatPr defaultColWidth="11.5546875" defaultRowHeight="13.2" x14ac:dyDescent="0.25"/>
  <cols>
    <col min="2" max="2" width="20.6640625" customWidth="1"/>
    <col min="3" max="3" width="19" customWidth="1"/>
    <col min="4" max="10" width="14.6640625" bestFit="1" customWidth="1"/>
  </cols>
  <sheetData>
    <row r="1" spans="1:10" x14ac:dyDescent="0.25">
      <c r="A1" s="58" t="s">
        <v>89</v>
      </c>
      <c r="D1" s="58" t="s">
        <v>90</v>
      </c>
      <c r="E1">
        <v>1</v>
      </c>
      <c r="F1">
        <v>2</v>
      </c>
      <c r="G1">
        <v>3</v>
      </c>
      <c r="H1">
        <v>4</v>
      </c>
      <c r="I1">
        <v>5</v>
      </c>
    </row>
    <row r="2" spans="1:10" x14ac:dyDescent="0.25">
      <c r="D2" s="64">
        <v>2024</v>
      </c>
      <c r="E2" s="64">
        <v>2025</v>
      </c>
      <c r="F2" s="64">
        <v>2026</v>
      </c>
      <c r="G2" s="64">
        <v>2027</v>
      </c>
      <c r="H2" s="64">
        <v>2028</v>
      </c>
      <c r="I2" s="64">
        <v>2029</v>
      </c>
      <c r="J2" s="64" t="s">
        <v>91</v>
      </c>
    </row>
    <row r="3" spans="1:10" x14ac:dyDescent="0.25">
      <c r="A3" s="58" t="s">
        <v>72</v>
      </c>
      <c r="D3" s="67">
        <f>IS!M8</f>
        <v>11202263</v>
      </c>
      <c r="E3" s="67">
        <f>IS!N8</f>
        <v>11426308.26</v>
      </c>
      <c r="F3" s="67">
        <f>IS!O8</f>
        <v>11654834.4252</v>
      </c>
      <c r="G3" s="67">
        <f>IS!P8</f>
        <v>11887931.113704002</v>
      </c>
      <c r="H3" s="67">
        <f>IS!Q8</f>
        <v>12125689.735978082</v>
      </c>
      <c r="I3" s="67">
        <f>IS!R8</f>
        <v>12368203.530697644</v>
      </c>
      <c r="J3" s="67">
        <f>IS!S8</f>
        <v>12491885.566004621</v>
      </c>
    </row>
    <row r="4" spans="1:10" x14ac:dyDescent="0.25">
      <c r="A4" s="58" t="s">
        <v>63</v>
      </c>
      <c r="D4" s="67">
        <f>BS!AF44</f>
        <v>2610747.4500000002</v>
      </c>
      <c r="E4" s="67">
        <f>BS!AG44</f>
        <v>2662962.3989999997</v>
      </c>
      <c r="F4" s="67">
        <f>BS!AH44</f>
        <v>2716221.6469799997</v>
      </c>
      <c r="G4" s="67">
        <f>BS!AI44</f>
        <v>2770546.0799195999</v>
      </c>
      <c r="H4" s="67">
        <f>BS!AJ44</f>
        <v>2825957.001517992</v>
      </c>
      <c r="I4" s="67">
        <f>BS!AK44</f>
        <v>2882476.1415483519</v>
      </c>
      <c r="J4" s="67">
        <f>BS!AL38</f>
        <v>2911300.9029638353</v>
      </c>
    </row>
    <row r="5" spans="1:10" x14ac:dyDescent="0.25">
      <c r="A5" s="58" t="s">
        <v>66</v>
      </c>
      <c r="D5" s="67">
        <f>BS!AF45</f>
        <v>9086059</v>
      </c>
      <c r="E5" s="67">
        <f>BS!AG45</f>
        <v>9267780.1800000016</v>
      </c>
      <c r="F5" s="67">
        <f>BS!AH45</f>
        <v>9453135.7835999988</v>
      </c>
      <c r="G5" s="67">
        <f>BS!AI45</f>
        <v>9642198.4992720038</v>
      </c>
      <c r="H5" s="67">
        <f>BS!AJ45</f>
        <v>9835042.4692574423</v>
      </c>
      <c r="I5" s="67">
        <f>BS!AK45</f>
        <v>10031743.31864259</v>
      </c>
      <c r="J5" s="67">
        <f>BS!AL45</f>
        <v>10132060.751829015</v>
      </c>
    </row>
    <row r="6" spans="1:10" x14ac:dyDescent="0.25">
      <c r="A6" s="58"/>
      <c r="D6" s="67"/>
      <c r="E6" s="67"/>
      <c r="F6" s="67"/>
      <c r="G6" s="67"/>
      <c r="H6" s="67"/>
      <c r="I6" s="67"/>
      <c r="J6" s="15"/>
    </row>
    <row r="7" spans="1:10" x14ac:dyDescent="0.25">
      <c r="A7" s="58" t="s">
        <v>92</v>
      </c>
      <c r="D7" s="67"/>
      <c r="E7" s="67">
        <f>E4-(D5*5.61%)</f>
        <v>2153234.4890999999</v>
      </c>
      <c r="F7" s="67">
        <f t="shared" ref="F7:H7" si="0">F4-(E5*5.61%)</f>
        <v>2196299.1788819996</v>
      </c>
      <c r="G7" s="67">
        <f t="shared" si="0"/>
        <v>2240225.1624596398</v>
      </c>
      <c r="H7" s="67">
        <f t="shared" si="0"/>
        <v>2285029.6657088324</v>
      </c>
      <c r="I7" s="67">
        <f>I4-(H5*5.61%)</f>
        <v>2330730.2590230093</v>
      </c>
      <c r="J7" s="67">
        <f>J4-(I5*5.61%)</f>
        <v>2348520.1027879859</v>
      </c>
    </row>
    <row r="8" spans="1:10" x14ac:dyDescent="0.25">
      <c r="A8" s="58" t="s">
        <v>93</v>
      </c>
      <c r="D8" s="67"/>
      <c r="E8" s="66">
        <f>(1/(1+5.61%)^E1)</f>
        <v>0.94688003030016088</v>
      </c>
      <c r="F8" s="66">
        <f t="shared" ref="F8:I8" si="1">(1/(1+5.61%)^F1)</f>
        <v>0.89658179178123365</v>
      </c>
      <c r="G8" s="66">
        <f t="shared" si="1"/>
        <v>0.84895539416838717</v>
      </c>
      <c r="H8" s="66">
        <f t="shared" si="1"/>
        <v>0.80385890935364746</v>
      </c>
      <c r="I8" s="66">
        <f t="shared" si="1"/>
        <v>0.76115794844583595</v>
      </c>
      <c r="J8" s="15"/>
    </row>
    <row r="9" spans="1:10" x14ac:dyDescent="0.25">
      <c r="A9" s="58" t="s">
        <v>94</v>
      </c>
      <c r="D9" s="67"/>
      <c r="E9" s="67">
        <f>E8*E7</f>
        <v>2038854.7382823594</v>
      </c>
      <c r="F9" s="67">
        <f t="shared" ref="F9:I9" si="2">F8*F7</f>
        <v>1969161.8530896753</v>
      </c>
      <c r="G9" s="67">
        <f t="shared" si="2"/>
        <v>1901851.2358218627</v>
      </c>
      <c r="H9" s="67">
        <f t="shared" si="2"/>
        <v>1836841.4549174316</v>
      </c>
      <c r="I9" s="67">
        <f t="shared" si="2"/>
        <v>1774053.8623385855</v>
      </c>
      <c r="J9" s="15"/>
    </row>
    <row r="10" spans="1:10" x14ac:dyDescent="0.25">
      <c r="A10" s="58" t="s">
        <v>105</v>
      </c>
      <c r="C10" s="15">
        <f>SUM(E9:I9)</f>
        <v>9520763.1444499139</v>
      </c>
      <c r="D10" s="67"/>
      <c r="E10" s="67"/>
      <c r="F10" s="67"/>
      <c r="G10" s="67"/>
      <c r="H10" s="67"/>
      <c r="I10" s="67"/>
      <c r="J10" s="15"/>
    </row>
    <row r="11" spans="1:10" x14ac:dyDescent="0.25">
      <c r="A11" s="58" t="s">
        <v>95</v>
      </c>
      <c r="C11" s="15">
        <f>(J7/(5.61%-2%))/(1+5.61%)^6</f>
        <v>46887472.706954449</v>
      </c>
      <c r="D11" s="67"/>
      <c r="E11" s="67"/>
      <c r="F11" s="67"/>
      <c r="G11" s="67"/>
      <c r="H11" s="67"/>
      <c r="I11" s="67"/>
      <c r="J11" s="15"/>
    </row>
    <row r="12" spans="1:10" x14ac:dyDescent="0.25">
      <c r="A12" s="58" t="s">
        <v>96</v>
      </c>
      <c r="C12" s="15">
        <f>D5</f>
        <v>9086059</v>
      </c>
      <c r="D12" s="67"/>
      <c r="E12" s="67"/>
      <c r="F12" s="67"/>
      <c r="G12" s="67"/>
      <c r="H12" s="67"/>
      <c r="I12" s="67"/>
      <c r="J12" s="15"/>
    </row>
    <row r="13" spans="1:10" x14ac:dyDescent="0.25">
      <c r="A13" s="58" t="s">
        <v>97</v>
      </c>
      <c r="C13" s="15">
        <f>SUM(C10:C12)</f>
        <v>65494294.851404361</v>
      </c>
      <c r="D13" s="67"/>
      <c r="E13" s="67"/>
      <c r="F13" s="67"/>
      <c r="G13" s="67"/>
      <c r="H13" s="67"/>
      <c r="I13" s="67"/>
      <c r="J13" s="15"/>
    </row>
    <row r="14" spans="1:10" x14ac:dyDescent="0.25">
      <c r="D14" s="67"/>
      <c r="E14" s="67"/>
      <c r="F14" s="67"/>
      <c r="G14" s="67"/>
      <c r="H14" s="67"/>
      <c r="I14" s="67"/>
      <c r="J14" s="15"/>
    </row>
    <row r="15" spans="1:10" x14ac:dyDescent="0.25">
      <c r="A15" s="58" t="s">
        <v>98</v>
      </c>
      <c r="C15" s="67">
        <f>BS!AF46</f>
        <v>4371405</v>
      </c>
      <c r="D15" s="67"/>
      <c r="E15" s="67"/>
      <c r="F15" s="67"/>
      <c r="G15" s="67"/>
      <c r="H15" s="67"/>
      <c r="I15" s="67"/>
      <c r="J15" s="15"/>
    </row>
    <row r="16" spans="1:10" x14ac:dyDescent="0.25">
      <c r="A16" s="58" t="s">
        <v>99</v>
      </c>
      <c r="C16">
        <v>0</v>
      </c>
      <c r="D16" s="67"/>
      <c r="E16" s="67"/>
      <c r="F16" s="67"/>
      <c r="G16" s="67"/>
      <c r="H16" s="67"/>
      <c r="I16" s="67"/>
      <c r="J16" s="15"/>
    </row>
    <row r="17" spans="1:10" x14ac:dyDescent="0.25">
      <c r="A17" s="58" t="s">
        <v>100</v>
      </c>
      <c r="C17">
        <v>0</v>
      </c>
      <c r="D17" s="67"/>
      <c r="E17" s="67"/>
      <c r="F17" s="67"/>
      <c r="G17" s="67"/>
      <c r="H17" s="67"/>
      <c r="I17" s="67"/>
      <c r="J17" s="15"/>
    </row>
    <row r="18" spans="1:10" x14ac:dyDescent="0.25">
      <c r="D18" s="67"/>
      <c r="E18" s="67"/>
      <c r="F18" s="67"/>
      <c r="G18" s="67"/>
      <c r="H18" s="67"/>
      <c r="I18" s="67"/>
      <c r="J18" s="15"/>
    </row>
    <row r="19" spans="1:10" x14ac:dyDescent="0.25">
      <c r="A19" s="58" t="s">
        <v>106</v>
      </c>
      <c r="C19" s="15">
        <f>C13-SUM(C15:C17)</f>
        <v>61122889.851404361</v>
      </c>
      <c r="D19" s="67"/>
      <c r="E19" s="67"/>
      <c r="F19" s="67"/>
      <c r="G19" s="67"/>
      <c r="H19" s="67"/>
      <c r="I19" s="67"/>
      <c r="J19" s="15"/>
    </row>
    <row r="20" spans="1:10" x14ac:dyDescent="0.25">
      <c r="A20" s="58" t="s">
        <v>101</v>
      </c>
      <c r="C20" s="15">
        <v>61122890000</v>
      </c>
      <c r="D20" s="97" t="s">
        <v>132</v>
      </c>
      <c r="E20" s="67"/>
      <c r="F20" s="67"/>
      <c r="G20" s="67"/>
      <c r="H20" s="67"/>
      <c r="I20" s="67"/>
      <c r="J20" s="15"/>
    </row>
    <row r="21" spans="1:10" x14ac:dyDescent="0.25">
      <c r="A21" s="58" t="s">
        <v>102</v>
      </c>
      <c r="C21" s="17">
        <v>202960000</v>
      </c>
      <c r="D21" s="97" t="s">
        <v>132</v>
      </c>
      <c r="E21" s="67"/>
      <c r="F21" s="67"/>
      <c r="G21" s="67"/>
      <c r="H21" s="67"/>
      <c r="I21" s="67"/>
      <c r="J21" s="15"/>
    </row>
    <row r="22" spans="1:10" x14ac:dyDescent="0.25">
      <c r="A22" s="58" t="s">
        <v>103</v>
      </c>
      <c r="C22" s="57">
        <f>(C20/C21)</f>
        <v>301.15732163973195</v>
      </c>
      <c r="D22" s="67"/>
      <c r="E22" s="67"/>
      <c r="F22" s="67"/>
      <c r="G22" s="67"/>
      <c r="H22" s="67"/>
      <c r="I22" s="67"/>
      <c r="J22" s="1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3695B-6348-472B-99DE-B1F99F29785A}">
  <dimension ref="A2:AD60"/>
  <sheetViews>
    <sheetView topLeftCell="O1" zoomScale="80" zoomScaleNormal="80" workbookViewId="0">
      <selection activeCell="W6" sqref="W6:AC10"/>
    </sheetView>
  </sheetViews>
  <sheetFormatPr defaultColWidth="8.77734375" defaultRowHeight="13.2" x14ac:dyDescent="0.25"/>
  <cols>
    <col min="1" max="1" width="53.6640625" bestFit="1" customWidth="1"/>
    <col min="3" max="9" width="13.33203125" bestFit="1" customWidth="1"/>
    <col min="10" max="10" width="12.5546875" customWidth="1"/>
    <col min="11" max="11" width="13.33203125" customWidth="1"/>
    <col min="12" max="12" width="20.21875" customWidth="1"/>
    <col min="13" max="13" width="15.77734375" style="41" customWidth="1"/>
    <col min="14" max="14" width="15.33203125" customWidth="1"/>
    <col min="15" max="15" width="17.44140625" customWidth="1"/>
    <col min="16" max="16" width="19" customWidth="1"/>
    <col min="17" max="17" width="16.109375" customWidth="1"/>
    <col min="18" max="18" width="15.109375" customWidth="1"/>
    <col min="19" max="19" width="14.77734375" customWidth="1"/>
    <col min="20" max="21" width="12" customWidth="1"/>
    <col min="22" max="22" width="16.88671875" customWidth="1"/>
    <col min="23" max="183" width="12" customWidth="1"/>
  </cols>
  <sheetData>
    <row r="2" spans="1:30" x14ac:dyDescent="0.25">
      <c r="N2" s="58"/>
    </row>
    <row r="3" spans="1:30" x14ac:dyDescent="0.25">
      <c r="H3" s="84"/>
      <c r="I3" s="84"/>
      <c r="J3" s="84"/>
      <c r="K3" s="84"/>
      <c r="L3" s="84"/>
      <c r="M3" s="84"/>
      <c r="N3" s="84"/>
      <c r="O3" s="65"/>
    </row>
    <row r="4" spans="1:30" ht="21" x14ac:dyDescent="0.4">
      <c r="A4" s="1" t="s">
        <v>0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30" x14ac:dyDescent="0.25">
      <c r="A5" s="51" t="s">
        <v>45</v>
      </c>
      <c r="C5" s="43" t="s">
        <v>11</v>
      </c>
      <c r="D5" s="43" t="s">
        <v>10</v>
      </c>
      <c r="E5" s="43" t="s">
        <v>9</v>
      </c>
      <c r="F5" s="43" t="s">
        <v>8</v>
      </c>
      <c r="G5" s="43" t="s">
        <v>7</v>
      </c>
      <c r="H5" s="43" t="s">
        <v>6</v>
      </c>
      <c r="I5" s="43" t="s">
        <v>5</v>
      </c>
      <c r="J5" s="43" t="s">
        <v>4</v>
      </c>
      <c r="K5" s="43" t="s">
        <v>3</v>
      </c>
      <c r="L5" s="43" t="s">
        <v>2</v>
      </c>
      <c r="M5" s="52">
        <v>45657</v>
      </c>
      <c r="N5" s="52">
        <v>46022</v>
      </c>
      <c r="O5" s="52">
        <v>46387</v>
      </c>
      <c r="P5" s="52">
        <v>46752</v>
      </c>
      <c r="Q5" s="52">
        <v>47118</v>
      </c>
      <c r="R5" s="52">
        <v>47483</v>
      </c>
      <c r="S5" s="64" t="s">
        <v>91</v>
      </c>
    </row>
    <row r="6" spans="1:30" x14ac:dyDescent="0.25">
      <c r="A6" s="3" t="s">
        <v>12</v>
      </c>
      <c r="C6" s="4" t="s">
        <v>13</v>
      </c>
      <c r="D6" s="4" t="s">
        <v>13</v>
      </c>
      <c r="E6" s="4" t="s">
        <v>13</v>
      </c>
      <c r="F6" s="4" t="s">
        <v>13</v>
      </c>
      <c r="G6" s="4" t="s">
        <v>13</v>
      </c>
      <c r="H6" s="4" t="s">
        <v>13</v>
      </c>
      <c r="I6" s="4" t="s">
        <v>13</v>
      </c>
      <c r="J6" s="4" t="s">
        <v>13</v>
      </c>
      <c r="K6" s="4" t="s">
        <v>13</v>
      </c>
      <c r="L6" s="4" t="s">
        <v>13</v>
      </c>
      <c r="M6" s="42" t="s">
        <v>13</v>
      </c>
      <c r="N6" s="42" t="s">
        <v>13</v>
      </c>
      <c r="O6" s="42" t="s">
        <v>13</v>
      </c>
      <c r="P6" s="42" t="s">
        <v>13</v>
      </c>
      <c r="Q6" s="42" t="s">
        <v>13</v>
      </c>
      <c r="R6" s="42" t="s">
        <v>13</v>
      </c>
      <c r="W6" s="58"/>
      <c r="X6" s="58"/>
      <c r="Y6" s="58"/>
      <c r="Z6" s="58"/>
      <c r="AA6" s="58"/>
      <c r="AB6" s="58"/>
      <c r="AC6" s="58"/>
    </row>
    <row r="7" spans="1:30" x14ac:dyDescent="0.25">
      <c r="A7" s="3" t="s">
        <v>14</v>
      </c>
      <c r="C7" s="43" t="s">
        <v>15</v>
      </c>
      <c r="D7" s="43" t="s">
        <v>15</v>
      </c>
      <c r="E7" s="43" t="s">
        <v>15</v>
      </c>
      <c r="F7" s="43" t="s">
        <v>15</v>
      </c>
      <c r="G7" s="43" t="s">
        <v>15</v>
      </c>
      <c r="H7" s="43" t="s">
        <v>15</v>
      </c>
      <c r="I7" s="43" t="s">
        <v>15</v>
      </c>
      <c r="J7" s="43" t="s">
        <v>15</v>
      </c>
      <c r="K7" s="43" t="s">
        <v>15</v>
      </c>
      <c r="L7" s="43" t="s">
        <v>15</v>
      </c>
      <c r="M7" s="44" t="s">
        <v>15</v>
      </c>
      <c r="N7" s="44" t="s">
        <v>15</v>
      </c>
      <c r="O7" s="44" t="s">
        <v>15</v>
      </c>
      <c r="P7" s="44" t="s">
        <v>15</v>
      </c>
      <c r="Q7" s="44" t="s">
        <v>15</v>
      </c>
      <c r="R7" s="44" t="s">
        <v>15</v>
      </c>
      <c r="W7" s="9"/>
      <c r="X7" s="9"/>
      <c r="Y7" s="9"/>
      <c r="Z7" s="9"/>
      <c r="AA7" s="9"/>
      <c r="AB7" s="9"/>
      <c r="AC7" s="9"/>
    </row>
    <row r="8" spans="1:30" x14ac:dyDescent="0.25">
      <c r="A8" s="25" t="s">
        <v>46</v>
      </c>
      <c r="B8" s="26"/>
      <c r="C8" s="27">
        <v>7421768</v>
      </c>
      <c r="D8" s="27">
        <v>7386626</v>
      </c>
      <c r="E8" s="27">
        <v>7440181</v>
      </c>
      <c r="F8" s="27">
        <v>7515426</v>
      </c>
      <c r="G8" s="27">
        <v>7791069</v>
      </c>
      <c r="H8" s="27">
        <v>7986252</v>
      </c>
      <c r="I8" s="27">
        <v>8149719</v>
      </c>
      <c r="J8" s="27">
        <v>8971337</v>
      </c>
      <c r="K8" s="27">
        <v>10419294</v>
      </c>
      <c r="L8" s="27">
        <v>11164992</v>
      </c>
      <c r="M8" s="47">
        <v>11202263</v>
      </c>
      <c r="N8" s="47">
        <f>M8*(1+1%)</f>
        <v>11314285.630000001</v>
      </c>
      <c r="O8" s="47">
        <f t="shared" ref="O8:R8" si="0">N8*(1+1%)</f>
        <v>11427428.486300001</v>
      </c>
      <c r="P8" s="47">
        <f t="shared" si="0"/>
        <v>11541702.771163002</v>
      </c>
      <c r="Q8" s="47">
        <f t="shared" si="0"/>
        <v>11657119.798874632</v>
      </c>
      <c r="R8" s="47">
        <f t="shared" si="0"/>
        <v>11773690.996863378</v>
      </c>
      <c r="S8" s="47">
        <f>R8*(1+0.5%)</f>
        <v>11832559.451847693</v>
      </c>
      <c r="W8" s="58"/>
    </row>
    <row r="9" spans="1:30" x14ac:dyDescent="0.25">
      <c r="A9" s="25" t="s">
        <v>47</v>
      </c>
      <c r="B9" s="26"/>
      <c r="C9" s="27">
        <v>4085602</v>
      </c>
      <c r="D9" s="27">
        <v>4003951</v>
      </c>
      <c r="E9" s="27">
        <v>4282290</v>
      </c>
      <c r="F9" s="27">
        <v>4070907</v>
      </c>
      <c r="G9" s="27">
        <v>4215744</v>
      </c>
      <c r="H9" s="27">
        <v>4363774</v>
      </c>
      <c r="I9" s="27">
        <v>4448450</v>
      </c>
      <c r="J9" s="27">
        <v>4922739</v>
      </c>
      <c r="K9" s="27">
        <v>5920509</v>
      </c>
      <c r="L9" s="27">
        <v>6167176</v>
      </c>
      <c r="M9" s="27">
        <v>5901375</v>
      </c>
      <c r="N9" s="47">
        <f t="shared" ref="N9:S9" si="1">$M$42*N8</f>
        <v>5960388.7500000009</v>
      </c>
      <c r="O9" s="47">
        <f t="shared" si="1"/>
        <v>6019992.6375000011</v>
      </c>
      <c r="P9" s="47">
        <f t="shared" si="1"/>
        <v>6080192.5638750019</v>
      </c>
      <c r="Q9" s="47">
        <f t="shared" si="1"/>
        <v>6140994.4895137511</v>
      </c>
      <c r="R9" s="47">
        <f t="shared" si="1"/>
        <v>6202404.4344088892</v>
      </c>
      <c r="S9" s="47">
        <f t="shared" si="1"/>
        <v>6233416.4565809323</v>
      </c>
      <c r="W9" s="58"/>
      <c r="X9" s="66"/>
    </row>
    <row r="10" spans="1:30" x14ac:dyDescent="0.25">
      <c r="A10" s="11" t="s">
        <v>48</v>
      </c>
      <c r="B10" s="12"/>
      <c r="C10" s="13">
        <v>3336166</v>
      </c>
      <c r="D10" s="13">
        <v>3382675</v>
      </c>
      <c r="E10" s="14">
        <v>3157891</v>
      </c>
      <c r="F10" s="14">
        <v>3444519</v>
      </c>
      <c r="G10" s="14">
        <v>3575325</v>
      </c>
      <c r="H10" s="14">
        <v>3622478</v>
      </c>
      <c r="I10" s="14">
        <v>3701269</v>
      </c>
      <c r="J10" s="14">
        <v>4048598</v>
      </c>
      <c r="K10" s="14">
        <v>4498785</v>
      </c>
      <c r="L10" s="14">
        <v>4997816</v>
      </c>
      <c r="M10" s="40">
        <v>5300888</v>
      </c>
      <c r="N10" s="15">
        <f>N8-N9</f>
        <v>5353896.88</v>
      </c>
      <c r="O10" s="15">
        <f>O8-O9</f>
        <v>5407435.8487999998</v>
      </c>
      <c r="P10" s="15">
        <f>P8-P9</f>
        <v>5461510.2072879998</v>
      </c>
      <c r="Q10" s="15">
        <f t="shared" ref="Q10" si="2">Q8-Q9</f>
        <v>5516125.3093608804</v>
      </c>
      <c r="R10" s="15">
        <f>R8-R9</f>
        <v>5571286.5624544891</v>
      </c>
      <c r="S10" s="15">
        <f>S8-S9</f>
        <v>5599142.9952667607</v>
      </c>
      <c r="W10" s="58"/>
      <c r="X10" s="84"/>
    </row>
    <row r="11" spans="1:30" x14ac:dyDescent="0.25">
      <c r="A11" s="25" t="s">
        <v>49</v>
      </c>
      <c r="B11" s="26"/>
      <c r="C11" s="27">
        <v>1900970</v>
      </c>
      <c r="D11" s="27">
        <v>1969308</v>
      </c>
      <c r="E11" s="27">
        <v>1915378</v>
      </c>
      <c r="F11" s="27">
        <v>1913403</v>
      </c>
      <c r="G11" s="27">
        <v>1874829</v>
      </c>
      <c r="H11" s="27">
        <v>1905929</v>
      </c>
      <c r="I11" s="27">
        <v>1890925</v>
      </c>
      <c r="J11" s="27">
        <v>2001351</v>
      </c>
      <c r="K11" s="27">
        <v>2236009</v>
      </c>
      <c r="L11" s="27">
        <v>2436508</v>
      </c>
      <c r="M11" s="27">
        <v>2373621</v>
      </c>
      <c r="N11" s="47">
        <f>$M$44*N8</f>
        <v>2397357.21</v>
      </c>
      <c r="O11" s="47">
        <f>$M$44*O8</f>
        <v>2421330.7821</v>
      </c>
      <c r="P11" s="47">
        <f>$M$44*P8</f>
        <v>2445544.0899210004</v>
      </c>
      <c r="Q11" s="47">
        <f t="shared" ref="Q11:R11" si="3">$M$44*Q8</f>
        <v>2469999.5308202105</v>
      </c>
      <c r="R11" s="47">
        <f t="shared" si="3"/>
        <v>2494699.5261284122</v>
      </c>
      <c r="S11" s="47">
        <f>$M$44*S8</f>
        <v>2507173.023759054</v>
      </c>
      <c r="Y11" s="84"/>
      <c r="Z11" s="84"/>
      <c r="AA11" s="84"/>
      <c r="AB11" s="84"/>
      <c r="AC11" s="84"/>
      <c r="AD11" s="84"/>
    </row>
    <row r="12" spans="1:30" x14ac:dyDescent="0.25">
      <c r="A12" s="25" t="s">
        <v>50</v>
      </c>
      <c r="B12" s="26"/>
      <c r="C12" s="28">
        <v>45621</v>
      </c>
      <c r="D12" s="27">
        <v>375608</v>
      </c>
      <c r="E12" s="27">
        <v>36730</v>
      </c>
      <c r="F12" s="27">
        <v>256475</v>
      </c>
      <c r="G12" s="27">
        <v>76832</v>
      </c>
      <c r="H12" s="27">
        <v>120597</v>
      </c>
      <c r="I12" s="27">
        <v>27646</v>
      </c>
      <c r="J12" s="27">
        <v>3525</v>
      </c>
      <c r="K12" s="27">
        <v>1989</v>
      </c>
      <c r="L12" s="27">
        <v>441</v>
      </c>
      <c r="M12" s="47">
        <v>29035</v>
      </c>
      <c r="N12" s="60">
        <f>$M$45*N8</f>
        <v>29325.350000000002</v>
      </c>
      <c r="O12" s="60">
        <f>$M$45*O8</f>
        <v>29618.603500000001</v>
      </c>
      <c r="P12" s="60">
        <f t="shared" ref="P12:Q12" si="4">$M$45*P8</f>
        <v>29914.789535000004</v>
      </c>
      <c r="Q12" s="60">
        <f t="shared" si="4"/>
        <v>30213.937430350001</v>
      </c>
      <c r="R12" s="60">
        <f>$M$45*R8</f>
        <v>30516.076804653505</v>
      </c>
      <c r="S12" s="60">
        <f>$M$45*S8</f>
        <v>30668.657188676767</v>
      </c>
    </row>
    <row r="13" spans="1:30" x14ac:dyDescent="0.25">
      <c r="A13" s="11" t="s">
        <v>51</v>
      </c>
      <c r="B13" s="12"/>
      <c r="C13" s="14">
        <v>1389575</v>
      </c>
      <c r="D13" s="14">
        <v>1037759</v>
      </c>
      <c r="E13" s="14">
        <v>1205783</v>
      </c>
      <c r="F13" s="14">
        <v>1274641</v>
      </c>
      <c r="G13" s="14">
        <v>1623664</v>
      </c>
      <c r="H13" s="14">
        <v>1595952</v>
      </c>
      <c r="I13" s="14">
        <v>1782698</v>
      </c>
      <c r="J13" s="14">
        <v>2043722</v>
      </c>
      <c r="K13" s="14">
        <v>2260787</v>
      </c>
      <c r="L13" s="14">
        <v>2560867</v>
      </c>
      <c r="M13" s="45">
        <v>2898232</v>
      </c>
      <c r="N13" s="40">
        <f>N10-N11-N12</f>
        <v>2927214.32</v>
      </c>
      <c r="O13" s="40">
        <f t="shared" ref="O13:S13" si="5">O10-O11-O12</f>
        <v>2956486.4631999996</v>
      </c>
      <c r="P13" s="40">
        <f t="shared" si="5"/>
        <v>2986051.3278319994</v>
      </c>
      <c r="Q13" s="40">
        <f t="shared" si="5"/>
        <v>3015911.8411103198</v>
      </c>
      <c r="R13" s="40">
        <f t="shared" si="5"/>
        <v>3046070.9595214236</v>
      </c>
      <c r="S13" s="40">
        <f t="shared" si="5"/>
        <v>3061301.3143190299</v>
      </c>
      <c r="T13" s="6"/>
      <c r="U13" s="6"/>
      <c r="V13" s="6"/>
      <c r="W13" s="6"/>
    </row>
    <row r="14" spans="1:30" x14ac:dyDescent="0.25">
      <c r="A14" s="29" t="s">
        <v>52</v>
      </c>
      <c r="B14" s="32"/>
      <c r="C14" s="31">
        <v>-83532</v>
      </c>
      <c r="D14" s="31">
        <v>-105773</v>
      </c>
      <c r="E14" s="31">
        <v>-90143</v>
      </c>
      <c r="F14" s="31">
        <v>-98282</v>
      </c>
      <c r="G14" s="31">
        <v>-138837</v>
      </c>
      <c r="H14" s="31">
        <v>-144125</v>
      </c>
      <c r="I14" s="31">
        <v>-149374</v>
      </c>
      <c r="J14" s="31">
        <v>-127417</v>
      </c>
      <c r="K14" s="31">
        <v>-137557</v>
      </c>
      <c r="L14" s="31">
        <v>-151785</v>
      </c>
      <c r="M14" s="53">
        <v>-165655</v>
      </c>
      <c r="N14" s="53">
        <f>$M$47*N8</f>
        <v>-167311.55000000002</v>
      </c>
      <c r="O14" s="53">
        <f>$M$47*O8</f>
        <v>-168984.66550000003</v>
      </c>
      <c r="P14" s="53">
        <f>$M$47*P8</f>
        <v>-170674.51215500003</v>
      </c>
      <c r="Q14" s="53">
        <f t="shared" ref="Q14:S14" si="6">$M$47*Q8</f>
        <v>-172381.25727655002</v>
      </c>
      <c r="R14" s="53">
        <f t="shared" si="6"/>
        <v>-174105.06984931554</v>
      </c>
      <c r="S14" s="53">
        <f t="shared" si="6"/>
        <v>-174975.59519856208</v>
      </c>
    </row>
    <row r="15" spans="1:30" x14ac:dyDescent="0.25">
      <c r="A15" s="29" t="s">
        <v>53</v>
      </c>
      <c r="B15" s="32"/>
      <c r="C15" s="33">
        <v>0</v>
      </c>
      <c r="D15" s="31">
        <v>-30139</v>
      </c>
      <c r="E15" s="31">
        <v>-16159</v>
      </c>
      <c r="F15" s="31">
        <v>-65691</v>
      </c>
      <c r="G15" s="31">
        <v>-74766</v>
      </c>
      <c r="H15" s="31">
        <v>-71043</v>
      </c>
      <c r="I15" s="31">
        <v>-138327</v>
      </c>
      <c r="J15" s="31">
        <v>-119081</v>
      </c>
      <c r="K15" s="31">
        <v>-206159</v>
      </c>
      <c r="L15" s="33">
        <v>-237218</v>
      </c>
      <c r="M15" s="53">
        <v>-258641</v>
      </c>
      <c r="N15" s="53">
        <f>$M$48*N8</f>
        <v>-261227.41</v>
      </c>
      <c r="O15" s="53">
        <f t="shared" ref="O15:S15" si="7">$M$48*O8</f>
        <v>-263839.68410000001</v>
      </c>
      <c r="P15" s="53">
        <f t="shared" si="7"/>
        <v>-266478.08094100002</v>
      </c>
      <c r="Q15" s="53">
        <f t="shared" si="7"/>
        <v>-269142.86175041</v>
      </c>
      <c r="R15" s="53">
        <f t="shared" si="7"/>
        <v>-271834.29036791413</v>
      </c>
      <c r="S15" s="53">
        <f t="shared" si="7"/>
        <v>-273193.46181975363</v>
      </c>
    </row>
    <row r="16" spans="1:30" x14ac:dyDescent="0.25">
      <c r="A16" s="11" t="s">
        <v>54</v>
      </c>
      <c r="B16" s="12"/>
      <c r="C16" s="14">
        <v>1306043</v>
      </c>
      <c r="D16" s="14">
        <v>901847</v>
      </c>
      <c r="E16" s="14">
        <v>1099481</v>
      </c>
      <c r="F16" s="14">
        <v>1110668</v>
      </c>
      <c r="G16" s="14">
        <v>1410061</v>
      </c>
      <c r="H16" s="14">
        <v>1380784</v>
      </c>
      <c r="I16" s="14">
        <v>1494997</v>
      </c>
      <c r="J16" s="14">
        <v>1797224</v>
      </c>
      <c r="K16" s="14">
        <v>1917071</v>
      </c>
      <c r="L16" s="14">
        <v>2171864</v>
      </c>
      <c r="M16" s="45">
        <f>SUM(M13:M15)</f>
        <v>2473936</v>
      </c>
      <c r="N16" s="40">
        <f>SUM(N13:N15)</f>
        <v>2498675.36</v>
      </c>
      <c r="O16" s="40">
        <f t="shared" ref="O16:S16" si="8">SUM(O13:O15)</f>
        <v>2523662.1135999993</v>
      </c>
      <c r="P16" s="40">
        <f t="shared" si="8"/>
        <v>2548898.7347359993</v>
      </c>
      <c r="Q16" s="40">
        <f t="shared" si="8"/>
        <v>2574387.72208336</v>
      </c>
      <c r="R16" s="40">
        <f t="shared" si="8"/>
        <v>2600131.5993041936</v>
      </c>
      <c r="S16" s="40">
        <f t="shared" si="8"/>
        <v>2613132.2573007145</v>
      </c>
      <c r="T16" s="6"/>
      <c r="U16" s="6"/>
      <c r="V16" s="6"/>
      <c r="W16" s="6"/>
    </row>
    <row r="17" spans="1:25" x14ac:dyDescent="0.25">
      <c r="A17" s="37" t="s">
        <v>55</v>
      </c>
      <c r="B17" s="38"/>
      <c r="C17" s="39">
        <v>459131</v>
      </c>
      <c r="D17" s="39">
        <v>388896</v>
      </c>
      <c r="E17" s="39">
        <v>379437</v>
      </c>
      <c r="F17" s="39">
        <v>354131</v>
      </c>
      <c r="G17" s="39">
        <v>239010</v>
      </c>
      <c r="H17" s="39">
        <v>234032</v>
      </c>
      <c r="I17" s="39">
        <v>219584</v>
      </c>
      <c r="J17" s="39">
        <v>314405</v>
      </c>
      <c r="K17" s="39">
        <v>272254</v>
      </c>
      <c r="L17" s="39">
        <v>310077</v>
      </c>
      <c r="M17" s="15">
        <v>252697</v>
      </c>
      <c r="N17" s="15">
        <f>$M$50*N8</f>
        <v>255223.97</v>
      </c>
      <c r="O17" s="15">
        <f>$M$50*O8</f>
        <v>257776.20970000001</v>
      </c>
      <c r="P17" s="15">
        <f t="shared" ref="P17:Q17" si="9">$M$50*P8</f>
        <v>260353.97179700003</v>
      </c>
      <c r="Q17" s="15">
        <f t="shared" si="9"/>
        <v>262957.51151497004</v>
      </c>
      <c r="R17" s="15">
        <f>$M$50*R8</f>
        <v>265587.08663011971</v>
      </c>
      <c r="S17" s="15">
        <f>$M$50*S8</f>
        <v>266915.02206327027</v>
      </c>
    </row>
    <row r="18" spans="1:25" x14ac:dyDescent="0.25">
      <c r="A18" s="11" t="s">
        <v>56</v>
      </c>
      <c r="B18" s="12"/>
      <c r="C18" s="14">
        <v>846912</v>
      </c>
      <c r="D18" s="14">
        <v>512951</v>
      </c>
      <c r="E18" s="14">
        <v>720044</v>
      </c>
      <c r="F18" s="14">
        <v>756537</v>
      </c>
      <c r="G18" s="14">
        <v>1171051</v>
      </c>
      <c r="H18" s="14">
        <v>1146752</v>
      </c>
      <c r="I18" s="14">
        <v>1275413</v>
      </c>
      <c r="J18" s="14">
        <v>1482819</v>
      </c>
      <c r="K18" s="14">
        <v>1644817</v>
      </c>
      <c r="L18" s="14">
        <v>1861787</v>
      </c>
      <c r="M18" s="45">
        <f>M16-M17</f>
        <v>2221239</v>
      </c>
      <c r="N18" s="40">
        <f>N16-N17</f>
        <v>2243451.3899999997</v>
      </c>
      <c r="O18" s="40">
        <f t="shared" ref="O18:S18" si="10">O16-O17</f>
        <v>2265885.9038999993</v>
      </c>
      <c r="P18" s="40">
        <f t="shared" si="10"/>
        <v>2288544.7629389991</v>
      </c>
      <c r="Q18" s="40">
        <f t="shared" si="10"/>
        <v>2311430.2105683899</v>
      </c>
      <c r="R18" s="40">
        <f t="shared" si="10"/>
        <v>2334544.5126740737</v>
      </c>
      <c r="S18" s="40">
        <f t="shared" si="10"/>
        <v>2346217.2352374443</v>
      </c>
      <c r="T18" s="6"/>
      <c r="U18" s="6"/>
      <c r="V18" s="6"/>
      <c r="W18" s="6"/>
      <c r="X18" s="6"/>
    </row>
    <row r="19" spans="1:25" x14ac:dyDescent="0.25">
      <c r="A19" s="29" t="s">
        <v>82</v>
      </c>
      <c r="B19" s="32"/>
      <c r="C19" s="33">
        <v>0</v>
      </c>
      <c r="D19" s="33">
        <v>0</v>
      </c>
      <c r="E19" s="33">
        <v>0</v>
      </c>
      <c r="F19" s="31">
        <v>26444</v>
      </c>
      <c r="G19" s="31">
        <v>6511</v>
      </c>
      <c r="H19" s="31">
        <v>2940</v>
      </c>
      <c r="I19" s="31">
        <v>3295</v>
      </c>
      <c r="J19" s="31">
        <v>-5307</v>
      </c>
      <c r="K19" s="33">
        <v>0</v>
      </c>
      <c r="L19" s="33">
        <v>0</v>
      </c>
      <c r="M19" s="54" t="s">
        <v>84</v>
      </c>
      <c r="N19" s="54" t="s">
        <v>84</v>
      </c>
      <c r="O19" s="54" t="s">
        <v>84</v>
      </c>
      <c r="P19" s="54" t="s">
        <v>84</v>
      </c>
      <c r="Q19" s="54" t="s">
        <v>84</v>
      </c>
      <c r="R19" s="54" t="s">
        <v>84</v>
      </c>
      <c r="S19" s="54" t="s">
        <v>84</v>
      </c>
      <c r="T19" s="6"/>
      <c r="U19" s="6"/>
      <c r="V19" s="6"/>
      <c r="W19" s="6"/>
      <c r="X19" s="6"/>
    </row>
    <row r="20" spans="1:25" ht="14.4" x14ac:dyDescent="0.3">
      <c r="A20" s="11" t="s">
        <v>57</v>
      </c>
      <c r="B20" s="12"/>
      <c r="C20" s="13">
        <v>846912</v>
      </c>
      <c r="D20" s="13">
        <v>512951</v>
      </c>
      <c r="E20" s="13">
        <v>720044</v>
      </c>
      <c r="F20" s="14">
        <v>782981</v>
      </c>
      <c r="G20" s="14">
        <v>1177562</v>
      </c>
      <c r="H20" s="14">
        <v>1149692</v>
      </c>
      <c r="I20" s="14">
        <v>1278708</v>
      </c>
      <c r="J20" s="14">
        <v>1477512</v>
      </c>
      <c r="K20" s="14">
        <v>1644817</v>
      </c>
      <c r="L20" s="13">
        <v>1861787</v>
      </c>
      <c r="M20" s="45">
        <f>2221239</f>
        <v>2221239</v>
      </c>
      <c r="N20" s="45">
        <f>N18</f>
        <v>2243451.3899999997</v>
      </c>
      <c r="O20" s="45">
        <f t="shared" ref="O20:S20" si="11">O18</f>
        <v>2265885.9038999993</v>
      </c>
      <c r="P20" s="45">
        <f t="shared" si="11"/>
        <v>2288544.7629389991</v>
      </c>
      <c r="Q20" s="45">
        <f t="shared" si="11"/>
        <v>2311430.2105683899</v>
      </c>
      <c r="R20" s="45">
        <f t="shared" si="11"/>
        <v>2334544.5126740737</v>
      </c>
      <c r="S20" s="45">
        <f t="shared" si="11"/>
        <v>2346217.2352374443</v>
      </c>
      <c r="V20" s="111" t="s">
        <v>107</v>
      </c>
      <c r="W20" s="111"/>
      <c r="X20" s="111"/>
      <c r="Y20" s="111"/>
    </row>
    <row r="21" spans="1:25" ht="14.4" x14ac:dyDescent="0.3">
      <c r="M21" s="15"/>
      <c r="W21" s="82" t="s">
        <v>108</v>
      </c>
      <c r="X21" s="82" t="s">
        <v>109</v>
      </c>
      <c r="Y21" s="82" t="s">
        <v>110</v>
      </c>
    </row>
    <row r="22" spans="1:25" ht="17.399999999999999" x14ac:dyDescent="0.3">
      <c r="A22" s="21" t="s">
        <v>58</v>
      </c>
      <c r="C22" s="22">
        <f>C13</f>
        <v>1389575</v>
      </c>
      <c r="D22" s="22">
        <f t="shared" ref="D22:K22" si="12">D13</f>
        <v>1037759</v>
      </c>
      <c r="E22" s="22">
        <f t="shared" si="12"/>
        <v>1205783</v>
      </c>
      <c r="F22" s="22">
        <f t="shared" si="12"/>
        <v>1274641</v>
      </c>
      <c r="G22" s="22">
        <f t="shared" si="12"/>
        <v>1623664</v>
      </c>
      <c r="H22" s="22">
        <f t="shared" si="12"/>
        <v>1595952</v>
      </c>
      <c r="I22" s="22">
        <f t="shared" si="12"/>
        <v>1782698</v>
      </c>
      <c r="J22" s="22">
        <f t="shared" si="12"/>
        <v>2043722</v>
      </c>
      <c r="K22" s="22">
        <f t="shared" si="12"/>
        <v>2260787</v>
      </c>
      <c r="L22" s="22">
        <f>L13</f>
        <v>2560867</v>
      </c>
      <c r="M22" s="45">
        <f>M13</f>
        <v>2898232</v>
      </c>
      <c r="N22" s="45">
        <f>N13</f>
        <v>2927214.32</v>
      </c>
      <c r="O22" s="45">
        <f t="shared" ref="O22:Q22" si="13">O13</f>
        <v>2956486.4631999996</v>
      </c>
      <c r="P22" s="45">
        <f t="shared" si="13"/>
        <v>2986051.3278319994</v>
      </c>
      <c r="Q22" s="45">
        <f t="shared" si="13"/>
        <v>3015911.8411103198</v>
      </c>
      <c r="R22" s="45">
        <f>R13</f>
        <v>3046070.9595214236</v>
      </c>
      <c r="S22" s="45">
        <f>S13</f>
        <v>3061301.3143190299</v>
      </c>
      <c r="V22" s="83" t="s">
        <v>111</v>
      </c>
      <c r="W22" s="85">
        <v>0.02</v>
      </c>
      <c r="X22" s="85">
        <v>0.01</v>
      </c>
      <c r="Y22" s="85">
        <v>0.03</v>
      </c>
    </row>
    <row r="23" spans="1:25" ht="17.399999999999999" x14ac:dyDescent="0.3">
      <c r="A23" s="21" t="s">
        <v>59</v>
      </c>
      <c r="C23" s="22">
        <f t="shared" ref="C23:K23" si="14">C17*-1</f>
        <v>-459131</v>
      </c>
      <c r="D23" s="22">
        <f t="shared" si="14"/>
        <v>-388896</v>
      </c>
      <c r="E23" s="22">
        <f t="shared" si="14"/>
        <v>-379437</v>
      </c>
      <c r="F23" s="22">
        <f t="shared" si="14"/>
        <v>-354131</v>
      </c>
      <c r="G23" s="22">
        <f t="shared" si="14"/>
        <v>-239010</v>
      </c>
      <c r="H23" s="22">
        <f t="shared" si="14"/>
        <v>-234032</v>
      </c>
      <c r="I23" s="22">
        <f t="shared" si="14"/>
        <v>-219584</v>
      </c>
      <c r="J23" s="22">
        <f t="shared" si="14"/>
        <v>-314405</v>
      </c>
      <c r="K23" s="22">
        <f t="shared" si="14"/>
        <v>-272254</v>
      </c>
      <c r="L23" s="22">
        <f>L17*-1</f>
        <v>-310077</v>
      </c>
      <c r="M23" s="22">
        <f>M17*-1</f>
        <v>-252697</v>
      </c>
      <c r="N23" s="22">
        <f t="shared" ref="N23:S23" si="15">N17*-1</f>
        <v>-255223.97</v>
      </c>
      <c r="O23" s="22">
        <f t="shared" si="15"/>
        <v>-257776.20970000001</v>
      </c>
      <c r="P23" s="22">
        <f t="shared" si="15"/>
        <v>-260353.97179700003</v>
      </c>
      <c r="Q23" s="22">
        <f t="shared" si="15"/>
        <v>-262957.51151497004</v>
      </c>
      <c r="R23" s="22">
        <f t="shared" si="15"/>
        <v>-265587.08663011971</v>
      </c>
      <c r="S23" s="22">
        <f t="shared" si="15"/>
        <v>-266915.02206327027</v>
      </c>
      <c r="V23" s="83" t="s">
        <v>112</v>
      </c>
      <c r="W23" s="85">
        <v>5.6099999999999997E-2</v>
      </c>
      <c r="X23" s="85">
        <v>4.6100000000000002E-2</v>
      </c>
      <c r="Y23" s="85">
        <v>6.6100000000000006E-2</v>
      </c>
    </row>
    <row r="24" spans="1:25" ht="17.399999999999999" x14ac:dyDescent="0.3">
      <c r="A24" s="21" t="s">
        <v>60</v>
      </c>
      <c r="C24" s="22">
        <f t="shared" ref="C24:K24" si="16">(C14+C15)*C26</f>
        <v>-29236.199999999997</v>
      </c>
      <c r="D24" s="22">
        <f t="shared" si="16"/>
        <v>-47569.2</v>
      </c>
      <c r="E24" s="22">
        <f t="shared" si="16"/>
        <v>-37205.699999999997</v>
      </c>
      <c r="F24" s="22">
        <f t="shared" si="16"/>
        <v>-57390.549999999996</v>
      </c>
      <c r="G24" s="22">
        <f t="shared" si="16"/>
        <v>-44856.63</v>
      </c>
      <c r="H24" s="22">
        <f t="shared" si="16"/>
        <v>-45185.279999999999</v>
      </c>
      <c r="I24" s="22">
        <f t="shared" si="16"/>
        <v>-60417.21</v>
      </c>
      <c r="J24" s="22">
        <f t="shared" si="16"/>
        <v>-51764.579999999994</v>
      </c>
      <c r="K24" s="22">
        <f t="shared" si="16"/>
        <v>-72180.36</v>
      </c>
      <c r="L24" s="22">
        <f>(L14+L15)*L26</f>
        <v>-81690.62999999999</v>
      </c>
      <c r="M24" s="22">
        <f>(M14+M15)*M26</f>
        <v>-89102.16</v>
      </c>
      <c r="N24" s="22">
        <f t="shared" ref="N24:S24" si="17">(N14+N15)*N26</f>
        <v>-89993.181599999996</v>
      </c>
      <c r="O24" s="22">
        <f t="shared" si="17"/>
        <v>-90893.113416000007</v>
      </c>
      <c r="P24" s="22">
        <f t="shared" si="17"/>
        <v>-91802.044550160004</v>
      </c>
      <c r="Q24" s="22">
        <f t="shared" si="17"/>
        <v>-92720.064995661596</v>
      </c>
      <c r="R24" s="22">
        <f>(R14+R15)*R26</f>
        <v>-93647.26564561823</v>
      </c>
      <c r="S24" s="22">
        <f t="shared" si="17"/>
        <v>-94115.501973846302</v>
      </c>
      <c r="V24" s="83" t="s">
        <v>113</v>
      </c>
      <c r="W24" s="85">
        <v>0.01</v>
      </c>
      <c r="X24" s="85">
        <v>5.0000000000000001E-3</v>
      </c>
      <c r="Y24" s="85">
        <v>1.4999999999999999E-2</v>
      </c>
    </row>
    <row r="25" spans="1:25" ht="17.399999999999999" x14ac:dyDescent="0.3">
      <c r="A25" s="21" t="s">
        <v>61</v>
      </c>
      <c r="C25" s="22">
        <f t="shared" ref="C25:K25" si="18">C23+C24</f>
        <v>-488367.2</v>
      </c>
      <c r="D25" s="22">
        <f t="shared" si="18"/>
        <v>-436465.2</v>
      </c>
      <c r="E25" s="22">
        <f t="shared" si="18"/>
        <v>-416642.7</v>
      </c>
      <c r="F25" s="22">
        <f t="shared" si="18"/>
        <v>-411521.55</v>
      </c>
      <c r="G25" s="22">
        <f t="shared" si="18"/>
        <v>-283866.63</v>
      </c>
      <c r="H25" s="22">
        <f t="shared" si="18"/>
        <v>-279217.28000000003</v>
      </c>
      <c r="I25" s="22">
        <f t="shared" si="18"/>
        <v>-280001.21000000002</v>
      </c>
      <c r="J25" s="22">
        <f t="shared" si="18"/>
        <v>-366169.58</v>
      </c>
      <c r="K25" s="22">
        <f t="shared" si="18"/>
        <v>-344434.36</v>
      </c>
      <c r="L25" s="22">
        <f>L23+L24</f>
        <v>-391767.63</v>
      </c>
      <c r="M25" s="22">
        <f>M23+M24</f>
        <v>-341799.16000000003</v>
      </c>
      <c r="N25" s="22">
        <f t="shared" ref="N25:S25" si="19">N23+N24</f>
        <v>-345217.15159999998</v>
      </c>
      <c r="O25" s="22">
        <f t="shared" si="19"/>
        <v>-348669.32311600004</v>
      </c>
      <c r="P25" s="22">
        <f t="shared" si="19"/>
        <v>-352156.01634716004</v>
      </c>
      <c r="Q25" s="22">
        <f t="shared" si="19"/>
        <v>-355677.57651063165</v>
      </c>
      <c r="R25" s="22">
        <f t="shared" si="19"/>
        <v>-359234.35227573791</v>
      </c>
      <c r="S25" s="22">
        <f t="shared" si="19"/>
        <v>-361030.52403711656</v>
      </c>
    </row>
    <row r="26" spans="1:25" ht="17.399999999999999" x14ac:dyDescent="0.3">
      <c r="A26" s="21" t="s">
        <v>62</v>
      </c>
      <c r="C26" s="23">
        <v>0.35</v>
      </c>
      <c r="D26" s="23">
        <v>0.35</v>
      </c>
      <c r="E26" s="23">
        <v>0.35</v>
      </c>
      <c r="F26" s="23">
        <v>0.35</v>
      </c>
      <c r="G26" s="23">
        <v>0.21</v>
      </c>
      <c r="H26" s="23">
        <v>0.21</v>
      </c>
      <c r="I26" s="23">
        <v>0.21</v>
      </c>
      <c r="J26" s="23">
        <v>0.21</v>
      </c>
      <c r="K26" s="23">
        <v>0.21</v>
      </c>
      <c r="L26" s="23">
        <v>0.21</v>
      </c>
      <c r="M26" s="64">
        <v>0.21</v>
      </c>
      <c r="N26" s="64">
        <v>0.21</v>
      </c>
      <c r="O26" s="64">
        <v>0.21</v>
      </c>
      <c r="P26" s="64">
        <v>0.21</v>
      </c>
      <c r="Q26" s="64">
        <v>0.21</v>
      </c>
      <c r="R26" s="64">
        <v>0.21</v>
      </c>
      <c r="S26" s="64">
        <v>0.21</v>
      </c>
    </row>
    <row r="27" spans="1:25" ht="17.399999999999999" x14ac:dyDescent="0.3">
      <c r="A27" s="21" t="s">
        <v>63</v>
      </c>
      <c r="C27" s="22">
        <f t="shared" ref="C27:L27" si="20">C22+C25</f>
        <v>901207.8</v>
      </c>
      <c r="D27" s="22">
        <f t="shared" si="20"/>
        <v>601293.80000000005</v>
      </c>
      <c r="E27" s="22">
        <f t="shared" si="20"/>
        <v>789140.3</v>
      </c>
      <c r="F27" s="22">
        <f t="shared" si="20"/>
        <v>863119.45</v>
      </c>
      <c r="G27" s="22">
        <f t="shared" si="20"/>
        <v>1339797.3700000001</v>
      </c>
      <c r="H27" s="22">
        <f t="shared" si="20"/>
        <v>1316734.72</v>
      </c>
      <c r="I27" s="22">
        <f t="shared" si="20"/>
        <v>1502696.79</v>
      </c>
      <c r="J27" s="22">
        <f t="shared" si="20"/>
        <v>1677552.42</v>
      </c>
      <c r="K27" s="22">
        <f t="shared" si="20"/>
        <v>1916352.6400000001</v>
      </c>
      <c r="L27" s="22">
        <f t="shared" si="20"/>
        <v>2169099.37</v>
      </c>
      <c r="M27" s="22">
        <f>M22+M25</f>
        <v>2556432.84</v>
      </c>
      <c r="N27" s="22">
        <f t="shared" ref="N27:Q27" si="21">N22+N25</f>
        <v>2581997.1683999998</v>
      </c>
      <c r="O27" s="22">
        <f t="shared" si="21"/>
        <v>2607817.1400839994</v>
      </c>
      <c r="P27" s="22">
        <f t="shared" si="21"/>
        <v>2633895.3114848393</v>
      </c>
      <c r="Q27" s="22">
        <f t="shared" si="21"/>
        <v>2660234.2645996884</v>
      </c>
      <c r="R27" s="22">
        <f>R22+R25</f>
        <v>2686836.6072456855</v>
      </c>
      <c r="S27" s="22">
        <f>S22+S25</f>
        <v>2700270.7902819132</v>
      </c>
    </row>
    <row r="28" spans="1:25" x14ac:dyDescent="0.25">
      <c r="M28" s="15"/>
    </row>
    <row r="29" spans="1:25" x14ac:dyDescent="0.25">
      <c r="M29" s="15"/>
    </row>
    <row r="30" spans="1:25" x14ac:dyDescent="0.25">
      <c r="A30" t="s">
        <v>83</v>
      </c>
      <c r="M30" s="15"/>
    </row>
    <row r="31" spans="1:25" ht="17.399999999999999" x14ac:dyDescent="0.3">
      <c r="A31" s="21" t="s">
        <v>58</v>
      </c>
      <c r="C31" s="22">
        <f t="shared" ref="C31:K31" si="22">C13</f>
        <v>1389575</v>
      </c>
      <c r="D31" s="22">
        <f t="shared" si="22"/>
        <v>1037759</v>
      </c>
      <c r="E31" s="22">
        <f t="shared" si="22"/>
        <v>1205783</v>
      </c>
      <c r="F31" s="22">
        <f t="shared" si="22"/>
        <v>1274641</v>
      </c>
      <c r="G31" s="22">
        <f t="shared" si="22"/>
        <v>1623664</v>
      </c>
      <c r="H31" s="22">
        <f t="shared" si="22"/>
        <v>1595952</v>
      </c>
      <c r="I31" s="22">
        <f t="shared" si="22"/>
        <v>1782698</v>
      </c>
      <c r="J31" s="22">
        <f t="shared" si="22"/>
        <v>2043722</v>
      </c>
      <c r="K31" s="22">
        <f t="shared" si="22"/>
        <v>2260787</v>
      </c>
      <c r="L31" s="22">
        <f>L13</f>
        <v>2560867</v>
      </c>
      <c r="M31" s="22">
        <f>M13</f>
        <v>2898232</v>
      </c>
      <c r="N31" s="22">
        <f>N13</f>
        <v>2927214.32</v>
      </c>
      <c r="O31" s="22">
        <f t="shared" ref="O31:S31" si="23">O13</f>
        <v>2956486.4631999996</v>
      </c>
      <c r="P31" s="22">
        <f t="shared" si="23"/>
        <v>2986051.3278319994</v>
      </c>
      <c r="Q31" s="22">
        <f t="shared" si="23"/>
        <v>3015911.8411103198</v>
      </c>
      <c r="R31" s="22">
        <f t="shared" si="23"/>
        <v>3046070.9595214236</v>
      </c>
      <c r="S31" s="22">
        <f t="shared" si="23"/>
        <v>3061301.3143190299</v>
      </c>
    </row>
    <row r="32" spans="1:25" ht="17.399999999999999" x14ac:dyDescent="0.3">
      <c r="A32" s="21" t="s">
        <v>59</v>
      </c>
      <c r="C32" s="22">
        <f t="shared" ref="C32:S32" si="24">C17*-1</f>
        <v>-459131</v>
      </c>
      <c r="D32" s="22">
        <f t="shared" si="24"/>
        <v>-388896</v>
      </c>
      <c r="E32" s="22">
        <f t="shared" si="24"/>
        <v>-379437</v>
      </c>
      <c r="F32" s="22">
        <f t="shared" si="24"/>
        <v>-354131</v>
      </c>
      <c r="G32" s="22">
        <f t="shared" si="24"/>
        <v>-239010</v>
      </c>
      <c r="H32" s="22">
        <f t="shared" si="24"/>
        <v>-234032</v>
      </c>
      <c r="I32" s="22">
        <f t="shared" si="24"/>
        <v>-219584</v>
      </c>
      <c r="J32" s="22">
        <f t="shared" si="24"/>
        <v>-314405</v>
      </c>
      <c r="K32" s="22">
        <f t="shared" si="24"/>
        <v>-272254</v>
      </c>
      <c r="L32" s="22">
        <f t="shared" si="24"/>
        <v>-310077</v>
      </c>
      <c r="M32" s="22">
        <f>M17*-1</f>
        <v>-252697</v>
      </c>
      <c r="N32" s="22">
        <f>N17*-1</f>
        <v>-255223.97</v>
      </c>
      <c r="O32" s="22">
        <f t="shared" si="24"/>
        <v>-257776.20970000001</v>
      </c>
      <c r="P32" s="22">
        <f t="shared" si="24"/>
        <v>-260353.97179700003</v>
      </c>
      <c r="Q32" s="22">
        <f t="shared" si="24"/>
        <v>-262957.51151497004</v>
      </c>
      <c r="R32" s="22">
        <f t="shared" si="24"/>
        <v>-265587.08663011971</v>
      </c>
      <c r="S32" s="22">
        <f t="shared" si="24"/>
        <v>-266915.02206327027</v>
      </c>
    </row>
    <row r="33" spans="1:19" ht="17.399999999999999" x14ac:dyDescent="0.3">
      <c r="A33" s="21" t="s">
        <v>60</v>
      </c>
      <c r="C33" s="22">
        <f t="shared" ref="C33:K33" si="25">C14*C35</f>
        <v>-29236.199999999997</v>
      </c>
      <c r="D33" s="22">
        <f t="shared" si="25"/>
        <v>-37020.549999999996</v>
      </c>
      <c r="E33" s="22">
        <f t="shared" si="25"/>
        <v>-31550.05</v>
      </c>
      <c r="F33" s="22">
        <f t="shared" si="25"/>
        <v>-34398.699999999997</v>
      </c>
      <c r="G33" s="22">
        <f t="shared" si="25"/>
        <v>-29155.77</v>
      </c>
      <c r="H33" s="22">
        <f t="shared" si="25"/>
        <v>-30266.25</v>
      </c>
      <c r="I33" s="22">
        <f t="shared" si="25"/>
        <v>-31368.539999999997</v>
      </c>
      <c r="J33" s="22">
        <f t="shared" si="25"/>
        <v>-26757.57</v>
      </c>
      <c r="K33" s="22">
        <f t="shared" si="25"/>
        <v>-28886.969999999998</v>
      </c>
      <c r="L33" s="22">
        <f>L14*L35</f>
        <v>-31874.85</v>
      </c>
      <c r="M33" s="22">
        <f>M14*M35</f>
        <v>-34787.549999999996</v>
      </c>
      <c r="N33" s="22">
        <f t="shared" ref="N33:S33" si="26">N14*N35</f>
        <v>-35135.425500000005</v>
      </c>
      <c r="O33" s="22">
        <f t="shared" si="26"/>
        <v>-35486.779755000003</v>
      </c>
      <c r="P33" s="22">
        <f t="shared" si="26"/>
        <v>-35841.647552550006</v>
      </c>
      <c r="Q33" s="22">
        <f t="shared" si="26"/>
        <v>-36200.064028075503</v>
      </c>
      <c r="R33" s="22">
        <f t="shared" si="26"/>
        <v>-36562.064668356259</v>
      </c>
      <c r="S33" s="22">
        <f t="shared" si="26"/>
        <v>-36744.874991698038</v>
      </c>
    </row>
    <row r="34" spans="1:19" ht="17.399999999999999" x14ac:dyDescent="0.3">
      <c r="A34" s="21" t="s">
        <v>61</v>
      </c>
      <c r="C34" s="22">
        <f>C32+C33</f>
        <v>-488367.2</v>
      </c>
      <c r="D34" s="22">
        <f t="shared" ref="D34:S34" si="27">D32+D33</f>
        <v>-425916.55</v>
      </c>
      <c r="E34" s="22">
        <f t="shared" si="27"/>
        <v>-410987.05</v>
      </c>
      <c r="F34" s="22">
        <f t="shared" si="27"/>
        <v>-388529.7</v>
      </c>
      <c r="G34" s="22">
        <f t="shared" si="27"/>
        <v>-268165.77</v>
      </c>
      <c r="H34" s="22">
        <f t="shared" si="27"/>
        <v>-264298.25</v>
      </c>
      <c r="I34" s="22">
        <f t="shared" si="27"/>
        <v>-250952.54</v>
      </c>
      <c r="J34" s="22">
        <f t="shared" si="27"/>
        <v>-341162.57</v>
      </c>
      <c r="K34" s="22">
        <f t="shared" si="27"/>
        <v>-301140.96999999997</v>
      </c>
      <c r="L34" s="22">
        <f t="shared" si="27"/>
        <v>-341951.85</v>
      </c>
      <c r="M34" s="22">
        <f t="shared" si="27"/>
        <v>-287484.55</v>
      </c>
      <c r="N34" s="22">
        <f t="shared" si="27"/>
        <v>-290359.39549999998</v>
      </c>
      <c r="O34" s="22">
        <f t="shared" si="27"/>
        <v>-293262.98945500003</v>
      </c>
      <c r="P34" s="22">
        <f t="shared" si="27"/>
        <v>-296195.61934955005</v>
      </c>
      <c r="Q34" s="22">
        <f t="shared" si="27"/>
        <v>-299157.57554304553</v>
      </c>
      <c r="R34" s="22">
        <f t="shared" si="27"/>
        <v>-302149.15129847598</v>
      </c>
      <c r="S34" s="22">
        <f t="shared" si="27"/>
        <v>-303659.89705496829</v>
      </c>
    </row>
    <row r="35" spans="1:19" ht="17.399999999999999" x14ac:dyDescent="0.3">
      <c r="A35" s="21" t="s">
        <v>62</v>
      </c>
      <c r="C35" s="23">
        <v>0.35</v>
      </c>
      <c r="D35" s="23">
        <v>0.35</v>
      </c>
      <c r="E35" s="23">
        <v>0.35</v>
      </c>
      <c r="F35" s="23">
        <v>0.35</v>
      </c>
      <c r="G35" s="23">
        <v>0.21</v>
      </c>
      <c r="H35" s="23">
        <v>0.21</v>
      </c>
      <c r="I35" s="23">
        <v>0.21</v>
      </c>
      <c r="J35" s="23">
        <v>0.21</v>
      </c>
      <c r="K35" s="23">
        <v>0.21</v>
      </c>
      <c r="L35" s="23">
        <v>0.21</v>
      </c>
      <c r="M35" s="23">
        <v>0.21</v>
      </c>
      <c r="N35" s="23">
        <v>0.21</v>
      </c>
      <c r="O35" s="23">
        <v>0.21</v>
      </c>
      <c r="P35" s="23">
        <v>0.21</v>
      </c>
      <c r="Q35" s="23">
        <v>0.21</v>
      </c>
      <c r="R35" s="23">
        <v>0.21</v>
      </c>
      <c r="S35" s="23">
        <v>0.21</v>
      </c>
    </row>
    <row r="36" spans="1:19" ht="17.399999999999999" x14ac:dyDescent="0.3">
      <c r="A36" s="21" t="s">
        <v>63</v>
      </c>
      <c r="C36" s="22">
        <f>C31+C34</f>
        <v>901207.8</v>
      </c>
      <c r="D36" s="22">
        <f>D31+D34</f>
        <v>611842.44999999995</v>
      </c>
      <c r="E36" s="22">
        <f t="shared" ref="E36:K36" si="28">E31+E34</f>
        <v>794795.95</v>
      </c>
      <c r="F36" s="22">
        <f t="shared" si="28"/>
        <v>886111.3</v>
      </c>
      <c r="G36" s="22">
        <f t="shared" si="28"/>
        <v>1355498.23</v>
      </c>
      <c r="H36" s="22">
        <f t="shared" si="28"/>
        <v>1331653.75</v>
      </c>
      <c r="I36" s="22">
        <f t="shared" si="28"/>
        <v>1531745.46</v>
      </c>
      <c r="J36" s="22">
        <f t="shared" si="28"/>
        <v>1702559.43</v>
      </c>
      <c r="K36" s="22">
        <f t="shared" si="28"/>
        <v>1959646.03</v>
      </c>
      <c r="L36" s="22">
        <f>L31+L34</f>
        <v>2218915.15</v>
      </c>
      <c r="M36" s="22">
        <f>M31+M34</f>
        <v>2610747.4500000002</v>
      </c>
      <c r="N36" s="22">
        <f t="shared" ref="N36:S36" si="29">N31+N34</f>
        <v>2636854.9244999997</v>
      </c>
      <c r="O36" s="22">
        <f t="shared" si="29"/>
        <v>2663223.4737449996</v>
      </c>
      <c r="P36" s="22">
        <f t="shared" si="29"/>
        <v>2689855.7084824494</v>
      </c>
      <c r="Q36" s="22">
        <f t="shared" si="29"/>
        <v>2716754.2655672743</v>
      </c>
      <c r="R36" s="22">
        <f t="shared" si="29"/>
        <v>2743921.8082229476</v>
      </c>
      <c r="S36" s="22">
        <f t="shared" si="29"/>
        <v>2757641.4172640615</v>
      </c>
    </row>
    <row r="40" spans="1:19" ht="15.6" x14ac:dyDescent="0.3">
      <c r="J40" s="108" t="s">
        <v>87</v>
      </c>
      <c r="K40" s="108"/>
      <c r="L40" s="108"/>
      <c r="M40" s="108"/>
      <c r="N40" s="108"/>
      <c r="P40" s="57"/>
    </row>
    <row r="41" spans="1:19" x14ac:dyDescent="0.25">
      <c r="J41" s="86"/>
      <c r="K41" s="68"/>
      <c r="L41" s="68"/>
      <c r="M41" s="71"/>
      <c r="N41" s="68"/>
    </row>
    <row r="42" spans="1:19" x14ac:dyDescent="0.25">
      <c r="J42" s="86" t="s">
        <v>47</v>
      </c>
      <c r="K42" s="68"/>
      <c r="L42" s="68"/>
      <c r="M42" s="77">
        <f>M9/$M$8</f>
        <v>0.52680203990925767</v>
      </c>
      <c r="N42" s="68"/>
    </row>
    <row r="43" spans="1:19" x14ac:dyDescent="0.25">
      <c r="J43" s="87"/>
      <c r="K43" s="68"/>
      <c r="L43" s="68"/>
      <c r="M43" s="77"/>
      <c r="N43" s="68"/>
      <c r="O43" s="57"/>
    </row>
    <row r="44" spans="1:19" x14ac:dyDescent="0.25">
      <c r="J44" s="86" t="s">
        <v>49</v>
      </c>
      <c r="K44" s="68"/>
      <c r="L44" s="68"/>
      <c r="M44" s="77">
        <f t="shared" ref="M44:M53" si="30">M11/$M$8</f>
        <v>0.21188763377542555</v>
      </c>
      <c r="N44" s="68"/>
    </row>
    <row r="45" spans="1:19" x14ac:dyDescent="0.25">
      <c r="J45" s="86" t="s">
        <v>50</v>
      </c>
      <c r="K45" s="68"/>
      <c r="L45" s="68"/>
      <c r="M45" s="77">
        <f t="shared" si="30"/>
        <v>2.591887014257744E-3</v>
      </c>
      <c r="N45" s="68"/>
    </row>
    <row r="46" spans="1:19" x14ac:dyDescent="0.25">
      <c r="J46" s="87"/>
      <c r="K46" s="68"/>
      <c r="L46" s="68"/>
      <c r="M46" s="77"/>
      <c r="N46" s="68"/>
    </row>
    <row r="47" spans="1:19" x14ac:dyDescent="0.25">
      <c r="J47" s="86" t="s">
        <v>52</v>
      </c>
      <c r="K47" s="68"/>
      <c r="L47" s="68"/>
      <c r="M47" s="77">
        <f t="shared" si="30"/>
        <v>-1.4787637105109924E-2</v>
      </c>
      <c r="N47" s="68"/>
    </row>
    <row r="48" spans="1:19" x14ac:dyDescent="0.25">
      <c r="J48" s="86" t="s">
        <v>53</v>
      </c>
      <c r="K48" s="68"/>
      <c r="L48" s="68"/>
      <c r="M48" s="77">
        <f t="shared" si="30"/>
        <v>-2.3088281358864721E-2</v>
      </c>
      <c r="N48" s="68"/>
    </row>
    <row r="49" spans="10:14" x14ac:dyDescent="0.25">
      <c r="J49" s="87"/>
      <c r="K49" s="68"/>
      <c r="L49" s="68"/>
      <c r="M49" s="77"/>
      <c r="N49" s="68"/>
    </row>
    <row r="50" spans="10:14" x14ac:dyDescent="0.25">
      <c r="J50" s="86" t="s">
        <v>55</v>
      </c>
      <c r="K50" s="68"/>
      <c r="L50" s="68"/>
      <c r="M50" s="77">
        <f>M17/$M$8</f>
        <v>2.2557674284204896E-2</v>
      </c>
      <c r="N50" s="68"/>
    </row>
    <row r="51" spans="10:14" x14ac:dyDescent="0.25">
      <c r="J51" s="87" t="s">
        <v>56</v>
      </c>
      <c r="K51" s="68"/>
      <c r="L51" s="68"/>
      <c r="M51" s="77">
        <f t="shared" si="30"/>
        <v>0.19828484655287953</v>
      </c>
      <c r="N51" s="68"/>
    </row>
    <row r="52" spans="10:14" x14ac:dyDescent="0.25">
      <c r="J52" s="86"/>
      <c r="K52" s="68"/>
      <c r="L52" s="68"/>
      <c r="M52" s="77"/>
      <c r="N52" s="68"/>
    </row>
    <row r="53" spans="10:14" x14ac:dyDescent="0.25">
      <c r="J53" s="87" t="s">
        <v>57</v>
      </c>
      <c r="K53" s="68"/>
      <c r="L53" s="68"/>
      <c r="M53" s="77">
        <f t="shared" si="30"/>
        <v>0.19828484655287953</v>
      </c>
      <c r="N53" s="68"/>
    </row>
    <row r="55" spans="10:14" ht="17.399999999999999" x14ac:dyDescent="0.3">
      <c r="J55" s="21"/>
    </row>
    <row r="56" spans="10:14" ht="17.399999999999999" x14ac:dyDescent="0.3">
      <c r="J56" s="21"/>
    </row>
    <row r="57" spans="10:14" ht="17.399999999999999" x14ac:dyDescent="0.3">
      <c r="J57" s="21"/>
    </row>
    <row r="58" spans="10:14" ht="17.399999999999999" x14ac:dyDescent="0.3">
      <c r="J58" s="21"/>
    </row>
    <row r="59" spans="10:14" ht="17.399999999999999" x14ac:dyDescent="0.3">
      <c r="J59" s="21"/>
    </row>
    <row r="60" spans="10:14" ht="17.399999999999999" x14ac:dyDescent="0.3">
      <c r="J60" s="21"/>
    </row>
  </sheetData>
  <sheetProtection formatCells="0" formatColumns="0" formatRows="0" insertColumns="0" insertRows="0" insertHyperlinks="0" deleteColumns="0" deleteRows="0" sort="0" autoFilter="0" pivotTables="0"/>
  <mergeCells count="2">
    <mergeCell ref="J40:N40"/>
    <mergeCell ref="V20:Y2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E322-F304-46E1-B523-35F7D6C039EC}">
  <dimension ref="A1:D8"/>
  <sheetViews>
    <sheetView tabSelected="1" workbookViewId="0">
      <selection activeCell="D9" sqref="D9"/>
    </sheetView>
  </sheetViews>
  <sheetFormatPr defaultRowHeight="13.2" x14ac:dyDescent="0.25"/>
  <cols>
    <col min="1" max="1" width="40.21875" customWidth="1"/>
    <col min="2" max="2" width="10.44140625" bestFit="1" customWidth="1"/>
    <col min="3" max="3" width="9" customWidth="1"/>
  </cols>
  <sheetData>
    <row r="1" spans="1:4" ht="14.4" x14ac:dyDescent="0.3">
      <c r="A1" s="111" t="s">
        <v>107</v>
      </c>
      <c r="B1" s="111"/>
      <c r="C1" s="111"/>
      <c r="D1" s="111"/>
    </row>
    <row r="2" spans="1:4" ht="14.4" x14ac:dyDescent="0.3">
      <c r="B2" s="82" t="s">
        <v>108</v>
      </c>
      <c r="C2" s="82" t="s">
        <v>109</v>
      </c>
      <c r="D2" s="82" t="s">
        <v>110</v>
      </c>
    </row>
    <row r="3" spans="1:4" ht="14.4" x14ac:dyDescent="0.3">
      <c r="A3" s="83" t="s">
        <v>111</v>
      </c>
      <c r="B3" s="85">
        <v>0.02</v>
      </c>
      <c r="C3" s="85">
        <v>0.01</v>
      </c>
      <c r="D3" s="85">
        <v>0.03</v>
      </c>
    </row>
    <row r="4" spans="1:4" ht="14.4" x14ac:dyDescent="0.3">
      <c r="A4" s="83" t="s">
        <v>112</v>
      </c>
      <c r="B4" s="85">
        <v>5.6099999999999997E-2</v>
      </c>
      <c r="C4" s="85">
        <v>4.6100000000000002E-2</v>
      </c>
      <c r="D4" s="85">
        <v>6.6100000000000006E-2</v>
      </c>
    </row>
    <row r="5" spans="1:4" ht="14.4" x14ac:dyDescent="0.3">
      <c r="A5" s="83" t="s">
        <v>113</v>
      </c>
      <c r="B5" s="85">
        <v>0.01</v>
      </c>
      <c r="C5" s="85">
        <v>5.0000000000000001E-3</v>
      </c>
      <c r="D5" s="85">
        <v>1.4999999999999999E-2</v>
      </c>
    </row>
    <row r="6" spans="1:4" ht="14.4" x14ac:dyDescent="0.3">
      <c r="A6" s="82" t="s">
        <v>115</v>
      </c>
      <c r="B6" s="98">
        <f>'ROPI - Base'!C22</f>
        <v>301.15732163973195</v>
      </c>
      <c r="C6" s="98">
        <f>SAROPILower!C22</f>
        <v>313.32880863224278</v>
      </c>
      <c r="D6" s="98">
        <f>SAROPIUpper!C22</f>
        <v>289.17701024832479</v>
      </c>
    </row>
    <row r="8" spans="1:4" ht="14.4" x14ac:dyDescent="0.3">
      <c r="A8" s="83" t="s">
        <v>137</v>
      </c>
      <c r="B8" s="105">
        <v>168.52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15F5F-3016-4040-95C9-CF3E57409CBA}">
  <dimension ref="A1:AS189"/>
  <sheetViews>
    <sheetView topLeftCell="AI1" zoomScale="80" zoomScaleNormal="80" workbookViewId="0">
      <selection activeCell="AF34" sqref="AF34"/>
    </sheetView>
  </sheetViews>
  <sheetFormatPr defaultColWidth="8.77734375" defaultRowHeight="13.2" x14ac:dyDescent="0.25"/>
  <cols>
    <col min="1" max="1" width="53.6640625" bestFit="1" customWidth="1"/>
    <col min="3" max="3" width="12.6640625" customWidth="1"/>
    <col min="4" max="6" width="11.6640625" customWidth="1"/>
    <col min="7" max="7" width="12.109375" customWidth="1"/>
    <col min="8" max="9" width="11.6640625" customWidth="1"/>
    <col min="10" max="11" width="12.6640625" customWidth="1"/>
    <col min="12" max="12" width="28.44140625" customWidth="1"/>
    <col min="13" max="13" width="18.6640625" style="41" customWidth="1"/>
    <col min="14" max="14" width="14.6640625" style="41" customWidth="1"/>
    <col min="15" max="15" width="15.109375" style="41" customWidth="1"/>
    <col min="16" max="16" width="14.44140625" style="41" customWidth="1"/>
    <col min="17" max="17" width="16.109375" style="41" customWidth="1"/>
    <col min="18" max="18" width="15.77734375" style="41" customWidth="1"/>
    <col min="19" max="19" width="15.33203125" style="41" customWidth="1"/>
    <col min="20" max="21" width="12" customWidth="1"/>
    <col min="22" max="31" width="12" hidden="1" customWidth="1"/>
    <col min="32" max="37" width="12" customWidth="1"/>
    <col min="38" max="38" width="13.33203125" customWidth="1"/>
    <col min="39" max="41" width="12" customWidth="1"/>
    <col min="42" max="42" width="17.88671875" customWidth="1"/>
    <col min="43" max="189" width="12" customWidth="1"/>
  </cols>
  <sheetData>
    <row r="1" spans="1:45" x14ac:dyDescent="0.25">
      <c r="L1" s="90" t="s">
        <v>88</v>
      </c>
      <c r="M1" s="80">
        <v>2024</v>
      </c>
      <c r="N1" s="80">
        <v>2025</v>
      </c>
      <c r="O1" s="80">
        <v>2026</v>
      </c>
      <c r="P1" s="80">
        <v>2027</v>
      </c>
      <c r="Q1" s="80">
        <v>2028</v>
      </c>
      <c r="R1" s="80">
        <v>2029</v>
      </c>
      <c r="S1" s="104" t="s">
        <v>91</v>
      </c>
    </row>
    <row r="2" spans="1:45" x14ac:dyDescent="0.25">
      <c r="L2" s="80"/>
      <c r="M2" s="81">
        <v>11202263</v>
      </c>
      <c r="N2" s="81">
        <f>M2*(1+1%)</f>
        <v>11314285.630000001</v>
      </c>
      <c r="O2" s="81">
        <f t="shared" ref="O2:R2" si="0">N2*(1+1%)</f>
        <v>11427428.486300001</v>
      </c>
      <c r="P2" s="81">
        <f t="shared" si="0"/>
        <v>11541702.771163002</v>
      </c>
      <c r="Q2" s="81">
        <f t="shared" si="0"/>
        <v>11657119.798874632</v>
      </c>
      <c r="R2" s="81">
        <f t="shared" si="0"/>
        <v>11773690.996863378</v>
      </c>
      <c r="S2" s="81">
        <f>R2*(1+0.5%)</f>
        <v>11832559.451847693</v>
      </c>
    </row>
    <row r="4" spans="1:45" ht="21" x14ac:dyDescent="0.4">
      <c r="A4" s="1" t="s">
        <v>0</v>
      </c>
      <c r="AG4" s="58"/>
    </row>
    <row r="5" spans="1:45" x14ac:dyDescent="0.25">
      <c r="A5" s="2" t="s">
        <v>1</v>
      </c>
      <c r="C5" s="4" t="s">
        <v>11</v>
      </c>
      <c r="D5" s="4" t="s">
        <v>10</v>
      </c>
      <c r="E5" s="4" t="s">
        <v>9</v>
      </c>
      <c r="F5" s="4" t="s">
        <v>8</v>
      </c>
      <c r="G5" s="4" t="s">
        <v>7</v>
      </c>
      <c r="H5" s="4" t="s">
        <v>6</v>
      </c>
      <c r="I5" s="4" t="s">
        <v>5</v>
      </c>
      <c r="J5" s="4" t="s">
        <v>4</v>
      </c>
      <c r="K5" s="4" t="s">
        <v>3</v>
      </c>
      <c r="L5" s="4" t="s">
        <v>2</v>
      </c>
      <c r="M5" s="52">
        <v>45657</v>
      </c>
      <c r="N5" s="52">
        <v>46022</v>
      </c>
      <c r="O5" s="52">
        <v>46387</v>
      </c>
      <c r="P5" s="52">
        <v>46752</v>
      </c>
      <c r="Q5" s="52">
        <v>47118</v>
      </c>
      <c r="R5" s="52">
        <v>47483</v>
      </c>
      <c r="S5" s="103" t="s">
        <v>91</v>
      </c>
      <c r="AG5" s="68"/>
      <c r="AH5" s="68"/>
      <c r="AI5" s="68"/>
      <c r="AJ5" s="68"/>
      <c r="AK5" s="68"/>
      <c r="AL5" s="68"/>
    </row>
    <row r="6" spans="1:45" x14ac:dyDescent="0.25">
      <c r="A6" s="3" t="s">
        <v>12</v>
      </c>
      <c r="C6" s="43" t="s">
        <v>13</v>
      </c>
      <c r="D6" s="43" t="s">
        <v>13</v>
      </c>
      <c r="E6" s="43" t="s">
        <v>13</v>
      </c>
      <c r="F6" s="43" t="s">
        <v>13</v>
      </c>
      <c r="G6" s="43" t="s">
        <v>13</v>
      </c>
      <c r="H6" s="43" t="s">
        <v>13</v>
      </c>
      <c r="I6" s="43" t="s">
        <v>13</v>
      </c>
      <c r="J6" s="43" t="s">
        <v>13</v>
      </c>
      <c r="K6" s="43" t="s">
        <v>13</v>
      </c>
      <c r="L6" s="43" t="s">
        <v>13</v>
      </c>
      <c r="M6" s="44" t="s">
        <v>13</v>
      </c>
      <c r="N6" s="44"/>
      <c r="O6" s="44"/>
      <c r="P6" s="44"/>
      <c r="Q6" s="44"/>
      <c r="R6" s="44"/>
      <c r="S6" s="44"/>
      <c r="V6">
        <v>2014</v>
      </c>
      <c r="W6">
        <v>2015</v>
      </c>
      <c r="X6">
        <v>2016</v>
      </c>
      <c r="Y6">
        <v>2017</v>
      </c>
      <c r="Z6">
        <v>2018</v>
      </c>
      <c r="AA6">
        <v>2019</v>
      </c>
      <c r="AB6">
        <v>2020</v>
      </c>
      <c r="AC6">
        <v>2021</v>
      </c>
      <c r="AD6">
        <v>2022</v>
      </c>
      <c r="AE6">
        <v>2023</v>
      </c>
      <c r="AF6">
        <v>2024</v>
      </c>
      <c r="AG6" s="69">
        <v>2025</v>
      </c>
      <c r="AH6" s="69">
        <v>2026</v>
      </c>
      <c r="AI6" s="69">
        <v>2027</v>
      </c>
      <c r="AJ6" s="69">
        <v>2028</v>
      </c>
      <c r="AK6" s="69">
        <v>2029</v>
      </c>
      <c r="AL6" s="102" t="s">
        <v>104</v>
      </c>
    </row>
    <row r="7" spans="1:45" x14ac:dyDescent="0.25">
      <c r="A7" s="3" t="s">
        <v>14</v>
      </c>
      <c r="C7" s="43" t="s">
        <v>15</v>
      </c>
      <c r="D7" s="43" t="s">
        <v>15</v>
      </c>
      <c r="E7" s="43" t="s">
        <v>15</v>
      </c>
      <c r="F7" s="43" t="s">
        <v>15</v>
      </c>
      <c r="G7" s="43" t="s">
        <v>15</v>
      </c>
      <c r="H7" s="43" t="s">
        <v>15</v>
      </c>
      <c r="I7" s="43" t="s">
        <v>15</v>
      </c>
      <c r="J7" s="43" t="s">
        <v>15</v>
      </c>
      <c r="K7" s="43" t="s">
        <v>15</v>
      </c>
      <c r="L7" s="43" t="s">
        <v>15</v>
      </c>
      <c r="M7" s="44" t="s">
        <v>15</v>
      </c>
      <c r="N7" s="44"/>
      <c r="O7" s="44"/>
      <c r="P7" s="44"/>
      <c r="Q7" s="44"/>
      <c r="R7" s="44"/>
      <c r="S7" s="44"/>
      <c r="T7" t="s">
        <v>64</v>
      </c>
      <c r="V7" s="16">
        <f t="shared" ref="V7:AJ7" si="1">C9+C10+C11+C13+C14+C15+C16+C17</f>
        <v>5057016</v>
      </c>
      <c r="W7" s="16">
        <f t="shared" si="1"/>
        <v>4997842</v>
      </c>
      <c r="X7" s="16">
        <f t="shared" si="1"/>
        <v>5227366</v>
      </c>
      <c r="Y7" s="16">
        <f t="shared" si="1"/>
        <v>5173547</v>
      </c>
      <c r="Z7" s="16">
        <f t="shared" si="1"/>
        <v>7115022</v>
      </c>
      <c r="AA7" s="16">
        <f t="shared" si="1"/>
        <v>7647133</v>
      </c>
      <c r="AB7" s="16">
        <f t="shared" si="1"/>
        <v>7987858</v>
      </c>
      <c r="AC7" s="16">
        <f t="shared" si="1"/>
        <v>10082965</v>
      </c>
      <c r="AD7" s="16">
        <f t="shared" si="1"/>
        <v>10484931</v>
      </c>
      <c r="AE7" s="16">
        <f t="shared" si="1"/>
        <v>11501039</v>
      </c>
      <c r="AF7" s="16">
        <f t="shared" si="1"/>
        <v>12216115</v>
      </c>
      <c r="AG7" s="70">
        <f t="shared" si="1"/>
        <v>12338276.150000002</v>
      </c>
      <c r="AH7" s="70">
        <f t="shared" si="1"/>
        <v>12461658.911499999</v>
      </c>
      <c r="AI7" s="70">
        <f t="shared" si="1"/>
        <v>12586275.500615001</v>
      </c>
      <c r="AJ7" s="70">
        <f t="shared" si="1"/>
        <v>12712138.255621152</v>
      </c>
      <c r="AK7" s="70">
        <f>R9+R10+R11+R13+R14+R15+R16+R17</f>
        <v>12839259.638177363</v>
      </c>
      <c r="AL7" s="70">
        <f>S9+S10+S11+S13+S14+S15+S16+S17</f>
        <v>12903455.936368249</v>
      </c>
    </row>
    <row r="8" spans="1:45" x14ac:dyDescent="0.25">
      <c r="A8" s="29" t="s">
        <v>16</v>
      </c>
      <c r="B8" s="30"/>
      <c r="C8" s="31">
        <v>471985</v>
      </c>
      <c r="D8" s="31">
        <v>346529</v>
      </c>
      <c r="E8" s="31">
        <v>296967</v>
      </c>
      <c r="F8" s="31">
        <v>380179</v>
      </c>
      <c r="G8" s="31">
        <v>587998</v>
      </c>
      <c r="H8" s="31">
        <v>493262</v>
      </c>
      <c r="I8" s="31">
        <v>1143987</v>
      </c>
      <c r="J8" s="31">
        <v>329266</v>
      </c>
      <c r="K8" s="31">
        <v>463889</v>
      </c>
      <c r="L8" s="31">
        <v>401902</v>
      </c>
      <c r="M8" s="31">
        <v>730746</v>
      </c>
      <c r="N8" s="31">
        <f>M42*$N$2</f>
        <v>738053.46</v>
      </c>
      <c r="O8" s="31">
        <f>M42*$O$2</f>
        <v>745433.99459999998</v>
      </c>
      <c r="P8" s="31">
        <f>M42*$P$2</f>
        <v>752888.33454600011</v>
      </c>
      <c r="Q8" s="31">
        <f>M42*$Q$2</f>
        <v>760417.21789146005</v>
      </c>
      <c r="R8" s="31">
        <f>M42*$R$2</f>
        <v>768021.39007037471</v>
      </c>
      <c r="S8" s="31">
        <f>M42*$S$2</f>
        <v>771861.49702072644</v>
      </c>
      <c r="T8" t="s">
        <v>65</v>
      </c>
      <c r="V8" s="16">
        <f t="shared" ref="V8:AL8" si="2">C19+C20+C21+C26+C27</f>
        <v>1925522</v>
      </c>
      <c r="W8" s="16">
        <f t="shared" si="2"/>
        <v>1876382</v>
      </c>
      <c r="X8" s="16">
        <f t="shared" si="2"/>
        <v>1716477</v>
      </c>
      <c r="Y8" s="16">
        <f t="shared" si="2"/>
        <v>1701681</v>
      </c>
      <c r="Z8" s="16">
        <f t="shared" si="2"/>
        <v>1838158</v>
      </c>
      <c r="AA8" s="16">
        <f t="shared" si="2"/>
        <v>2128916</v>
      </c>
      <c r="AB8" s="16">
        <f t="shared" si="2"/>
        <v>2291337</v>
      </c>
      <c r="AC8" s="16">
        <f t="shared" si="2"/>
        <v>2626108</v>
      </c>
      <c r="AD8" s="16">
        <f t="shared" si="2"/>
        <v>2857931</v>
      </c>
      <c r="AE8" s="16">
        <f t="shared" si="2"/>
        <v>2989826</v>
      </c>
      <c r="AF8" s="16">
        <f t="shared" si="2"/>
        <v>3130056</v>
      </c>
      <c r="AG8" s="70">
        <f t="shared" si="2"/>
        <v>3161356.5600000005</v>
      </c>
      <c r="AH8" s="70">
        <f t="shared" si="2"/>
        <v>3192970.1256000004</v>
      </c>
      <c r="AI8" s="70">
        <f t="shared" si="2"/>
        <v>3224899.8268560008</v>
      </c>
      <c r="AJ8" s="70">
        <f t="shared" si="2"/>
        <v>3257148.8251245599</v>
      </c>
      <c r="AK8" s="70">
        <f t="shared" si="2"/>
        <v>3289720.313375806</v>
      </c>
      <c r="AL8" s="70">
        <f t="shared" si="2"/>
        <v>3306168.9149426846</v>
      </c>
    </row>
    <row r="9" spans="1:45" x14ac:dyDescent="0.25">
      <c r="A9" s="25" t="s">
        <v>17</v>
      </c>
      <c r="B9" s="26"/>
      <c r="C9" s="27">
        <v>596940</v>
      </c>
      <c r="D9" s="27">
        <v>599073</v>
      </c>
      <c r="E9" s="27">
        <v>581381</v>
      </c>
      <c r="F9" s="27">
        <v>588262</v>
      </c>
      <c r="G9" s="27">
        <v>594145</v>
      </c>
      <c r="H9" s="27">
        <v>568509</v>
      </c>
      <c r="I9" s="27">
        <v>615233</v>
      </c>
      <c r="J9" s="27">
        <v>671464</v>
      </c>
      <c r="K9" s="27">
        <v>711203</v>
      </c>
      <c r="L9" s="27">
        <v>823617</v>
      </c>
      <c r="M9" s="47">
        <v>800402</v>
      </c>
      <c r="N9" s="47">
        <f>M43*$N$2</f>
        <v>808406.02</v>
      </c>
      <c r="O9" s="60">
        <f>M43*$O$2</f>
        <v>816490.08020000008</v>
      </c>
      <c r="P9" s="60">
        <f>M43*$P$2</f>
        <v>824654.98100200016</v>
      </c>
      <c r="Q9" s="60">
        <f>M43*$Q$2</f>
        <v>832901.53081202006</v>
      </c>
      <c r="R9" s="60">
        <f>M43*$R$2</f>
        <v>841230.54612014035</v>
      </c>
      <c r="S9" s="60">
        <f>M43*$S$2</f>
        <v>845436.69885074091</v>
      </c>
      <c r="T9" t="s">
        <v>66</v>
      </c>
      <c r="V9" s="16">
        <f>V7-V8</f>
        <v>3131494</v>
      </c>
      <c r="W9" s="16">
        <f t="shared" ref="W9:AD9" si="3">W7-W8</f>
        <v>3121460</v>
      </c>
      <c r="X9" s="16">
        <f t="shared" si="3"/>
        <v>3510889</v>
      </c>
      <c r="Y9" s="16">
        <f t="shared" si="3"/>
        <v>3471866</v>
      </c>
      <c r="Z9" s="16">
        <f t="shared" si="3"/>
        <v>5276864</v>
      </c>
      <c r="AA9" s="16">
        <f t="shared" si="3"/>
        <v>5518217</v>
      </c>
      <c r="AB9" s="16">
        <f t="shared" si="3"/>
        <v>5696521</v>
      </c>
      <c r="AC9" s="16">
        <f t="shared" si="3"/>
        <v>7456857</v>
      </c>
      <c r="AD9" s="16">
        <f t="shared" si="3"/>
        <v>7627000</v>
      </c>
      <c r="AE9" s="16">
        <f>AE7-AE8</f>
        <v>8511213</v>
      </c>
      <c r="AF9" s="16">
        <f>AF7-AF8</f>
        <v>9086059</v>
      </c>
      <c r="AG9" s="70">
        <f t="shared" ref="AG9:AL9" si="4">AG7-AG8</f>
        <v>9176919.5900000017</v>
      </c>
      <c r="AH9" s="70">
        <f t="shared" si="4"/>
        <v>9268688.7858999986</v>
      </c>
      <c r="AI9" s="70">
        <f t="shared" si="4"/>
        <v>9361375.6737590004</v>
      </c>
      <c r="AJ9" s="70">
        <f t="shared" si="4"/>
        <v>9454989.4304965921</v>
      </c>
      <c r="AK9" s="70">
        <f t="shared" si="4"/>
        <v>9549539.3248015568</v>
      </c>
      <c r="AL9" s="70">
        <f t="shared" si="4"/>
        <v>9597287.0214255638</v>
      </c>
    </row>
    <row r="10" spans="1:45" ht="14.4" x14ac:dyDescent="0.3">
      <c r="A10" s="25" t="s">
        <v>18</v>
      </c>
      <c r="B10" s="26"/>
      <c r="C10" s="27">
        <v>801036</v>
      </c>
      <c r="D10" s="27">
        <v>750970</v>
      </c>
      <c r="E10" s="27">
        <v>745678</v>
      </c>
      <c r="F10" s="27">
        <v>752836</v>
      </c>
      <c r="G10" s="27">
        <v>784879</v>
      </c>
      <c r="H10" s="27">
        <v>815251</v>
      </c>
      <c r="I10" s="27">
        <v>964207</v>
      </c>
      <c r="J10" s="27">
        <v>988511</v>
      </c>
      <c r="K10" s="27">
        <v>1173119</v>
      </c>
      <c r="L10" s="27">
        <v>1340996</v>
      </c>
      <c r="M10" s="47">
        <v>1254094</v>
      </c>
      <c r="N10" s="47">
        <f>M44*$N$2</f>
        <v>1266634.9400000002</v>
      </c>
      <c r="O10" s="60">
        <f>M44*$O$2</f>
        <v>1279301.2894000001</v>
      </c>
      <c r="P10" s="60">
        <f>M44*$P$2</f>
        <v>1292094.3022940003</v>
      </c>
      <c r="Q10" s="60">
        <f t="shared" ref="Q10:Q36" si="5">M44*$Q$2</f>
        <v>1305015.2453169401</v>
      </c>
      <c r="R10" s="60">
        <f t="shared" ref="R10:R36" si="6">M44*$R$2</f>
        <v>1318065.3977701096</v>
      </c>
      <c r="S10" s="60">
        <f>M44*$S$2</f>
        <v>1324655.7247589601</v>
      </c>
      <c r="T10" t="s">
        <v>67</v>
      </c>
      <c r="V10" s="16"/>
      <c r="W10" s="16">
        <f>AVERAGE(V9:W9)</f>
        <v>3126477</v>
      </c>
      <c r="X10" s="16">
        <f t="shared" ref="X10:AD10" si="7">AVERAGE(W9:X9)</f>
        <v>3316174.5</v>
      </c>
      <c r="Y10" s="16">
        <f t="shared" si="7"/>
        <v>3491377.5</v>
      </c>
      <c r="Z10" s="16">
        <f t="shared" si="7"/>
        <v>4374365</v>
      </c>
      <c r="AA10" s="16">
        <f t="shared" si="7"/>
        <v>5397540.5</v>
      </c>
      <c r="AB10" s="16">
        <f t="shared" si="7"/>
        <v>5607369</v>
      </c>
      <c r="AC10" s="16">
        <f t="shared" si="7"/>
        <v>6576689</v>
      </c>
      <c r="AD10" s="16">
        <f t="shared" si="7"/>
        <v>7541928.5</v>
      </c>
      <c r="AE10" s="16">
        <f>AVERAGE(AD9:AE9)</f>
        <v>8069106.5</v>
      </c>
      <c r="AF10" s="16">
        <f>AVERAGE(AE9:AF9)</f>
        <v>8798636</v>
      </c>
      <c r="AG10" s="70">
        <f t="shared" ref="AG10:AL10" si="8">AVERAGE(AF9:AG9)</f>
        <v>9131489.2950000018</v>
      </c>
      <c r="AH10" s="70">
        <f t="shared" si="8"/>
        <v>9222804.1879500002</v>
      </c>
      <c r="AI10" s="70">
        <f t="shared" si="8"/>
        <v>9315032.2298294995</v>
      </c>
      <c r="AJ10" s="70">
        <f t="shared" si="8"/>
        <v>9408182.5521277972</v>
      </c>
      <c r="AK10" s="70">
        <f t="shared" si="8"/>
        <v>9502264.3776490744</v>
      </c>
      <c r="AL10" s="70">
        <f t="shared" si="8"/>
        <v>9573413.1731135603</v>
      </c>
      <c r="AP10" s="111" t="s">
        <v>107</v>
      </c>
      <c r="AQ10" s="111"/>
      <c r="AR10" s="111"/>
      <c r="AS10" s="111"/>
    </row>
    <row r="11" spans="1:45" ht="14.4" x14ac:dyDescent="0.3">
      <c r="A11" s="25" t="s">
        <v>20</v>
      </c>
      <c r="B11" s="26"/>
      <c r="C11" s="27">
        <v>276571</v>
      </c>
      <c r="D11" s="27">
        <v>152026</v>
      </c>
      <c r="E11" s="27">
        <v>192752</v>
      </c>
      <c r="F11" s="27">
        <v>280633</v>
      </c>
      <c r="G11" s="27">
        <v>272159</v>
      </c>
      <c r="H11" s="27">
        <v>240080</v>
      </c>
      <c r="I11" s="27">
        <v>254478</v>
      </c>
      <c r="J11" s="27">
        <v>256965</v>
      </c>
      <c r="K11" s="27">
        <v>272195</v>
      </c>
      <c r="L11" s="27">
        <v>345588</v>
      </c>
      <c r="M11" s="47">
        <v>974215</v>
      </c>
      <c r="N11" s="47">
        <f>M45*$N$2</f>
        <v>983957.15</v>
      </c>
      <c r="O11" s="60">
        <f>M45*$O$2</f>
        <v>993796.72149999999</v>
      </c>
      <c r="P11" s="60">
        <f>M45*$P$2</f>
        <v>1003734.6887150001</v>
      </c>
      <c r="Q11" s="60">
        <f t="shared" si="5"/>
        <v>1013772.03560215</v>
      </c>
      <c r="R11" s="60">
        <f t="shared" si="6"/>
        <v>1023909.7559581716</v>
      </c>
      <c r="S11" s="60">
        <f>M45*$S$2</f>
        <v>1029029.3047379623</v>
      </c>
      <c r="AG11" s="68"/>
      <c r="AH11" s="68"/>
      <c r="AI11" s="68"/>
      <c r="AJ11" s="68"/>
      <c r="AK11" s="68"/>
      <c r="AL11" s="68"/>
      <c r="AQ11" s="82" t="s">
        <v>108</v>
      </c>
      <c r="AR11" s="82" t="s">
        <v>109</v>
      </c>
      <c r="AS11" s="82" t="s">
        <v>110</v>
      </c>
    </row>
    <row r="12" spans="1:45" ht="14.4" x14ac:dyDescent="0.3">
      <c r="A12" s="11" t="s">
        <v>21</v>
      </c>
      <c r="B12" s="12"/>
      <c r="C12" s="14">
        <v>2247047</v>
      </c>
      <c r="D12" s="14">
        <v>1848598</v>
      </c>
      <c r="E12" s="14">
        <v>1816778</v>
      </c>
      <c r="F12" s="14">
        <v>2001910</v>
      </c>
      <c r="G12" s="14">
        <v>2239181</v>
      </c>
      <c r="H12" s="14">
        <v>2117102</v>
      </c>
      <c r="I12" s="14">
        <v>2977905</v>
      </c>
      <c r="J12" s="14">
        <v>2246206</v>
      </c>
      <c r="K12" s="14">
        <v>2620406</v>
      </c>
      <c r="L12" s="14">
        <v>2912103</v>
      </c>
      <c r="M12" s="45">
        <v>3759457</v>
      </c>
      <c r="N12" s="45">
        <f t="shared" ref="N12:S12" si="9">SUM(N8:N11)</f>
        <v>3797051.57</v>
      </c>
      <c r="O12" s="45">
        <f t="shared" si="9"/>
        <v>3835022.0857000002</v>
      </c>
      <c r="P12" s="63">
        <f t="shared" si="9"/>
        <v>3873372.3065570011</v>
      </c>
      <c r="Q12" s="63">
        <f t="shared" si="9"/>
        <v>3912106.0296225701</v>
      </c>
      <c r="R12" s="63">
        <f t="shared" si="9"/>
        <v>3951227.089918796</v>
      </c>
      <c r="S12" s="63">
        <f t="shared" si="9"/>
        <v>3970983.2253683894</v>
      </c>
      <c r="T12" t="s">
        <v>68</v>
      </c>
      <c r="V12" s="15">
        <f t="shared" ref="V12:AL12" si="10">C22+C23+C25</f>
        <v>2184464</v>
      </c>
      <c r="W12" s="15">
        <f t="shared" si="10"/>
        <v>2420527</v>
      </c>
      <c r="X12" s="15">
        <f t="shared" si="10"/>
        <v>2980169</v>
      </c>
      <c r="Y12" s="15">
        <f t="shared" si="10"/>
        <v>2920480</v>
      </c>
      <c r="Z12" s="15">
        <f t="shared" si="10"/>
        <v>4457596</v>
      </c>
      <c r="AA12" s="15">
        <f t="shared" si="10"/>
        <v>4266485</v>
      </c>
      <c r="AB12" s="15">
        <f t="shared" si="10"/>
        <v>4602625</v>
      </c>
      <c r="AC12" s="15">
        <f t="shared" si="10"/>
        <v>5028894</v>
      </c>
      <c r="AD12" s="15">
        <f t="shared" si="10"/>
        <v>4791345</v>
      </c>
      <c r="AE12" s="15">
        <f t="shared" si="10"/>
        <v>4814029</v>
      </c>
      <c r="AF12" s="15">
        <f t="shared" si="10"/>
        <v>5102151</v>
      </c>
      <c r="AG12" s="71">
        <f t="shared" si="10"/>
        <v>5153172.51</v>
      </c>
      <c r="AH12" s="71">
        <f t="shared" si="10"/>
        <v>5204704.2351000011</v>
      </c>
      <c r="AI12" s="71">
        <f t="shared" si="10"/>
        <v>5256751.2774510011</v>
      </c>
      <c r="AJ12" s="71">
        <f t="shared" si="10"/>
        <v>5309318.7902255114</v>
      </c>
      <c r="AK12" s="71">
        <f t="shared" si="10"/>
        <v>5362411.9781277664</v>
      </c>
      <c r="AL12" s="71">
        <f t="shared" si="10"/>
        <v>5389224.0380184036</v>
      </c>
      <c r="AP12" s="83" t="s">
        <v>111</v>
      </c>
      <c r="AQ12" s="85">
        <v>0.02</v>
      </c>
      <c r="AR12" s="85">
        <v>0.01</v>
      </c>
      <c r="AS12" s="85">
        <v>0.03</v>
      </c>
    </row>
    <row r="13" spans="1:45" ht="14.4" x14ac:dyDescent="0.3">
      <c r="A13" s="25" t="s">
        <v>22</v>
      </c>
      <c r="B13" s="26"/>
      <c r="C13" s="27">
        <v>2151901</v>
      </c>
      <c r="D13" s="27">
        <v>2240460</v>
      </c>
      <c r="E13" s="27">
        <v>2177248</v>
      </c>
      <c r="F13" s="27">
        <v>2106697</v>
      </c>
      <c r="G13" s="27">
        <v>2130294</v>
      </c>
      <c r="H13" s="27">
        <v>2153139</v>
      </c>
      <c r="I13" s="27">
        <v>2285255</v>
      </c>
      <c r="J13" s="27">
        <v>2586187</v>
      </c>
      <c r="K13" s="27">
        <v>2769702</v>
      </c>
      <c r="L13" s="27">
        <v>3309678</v>
      </c>
      <c r="M13" s="47">
        <v>3458853</v>
      </c>
      <c r="N13" s="47">
        <f>M47*$N$2</f>
        <v>3493441.5300000003</v>
      </c>
      <c r="O13" s="60">
        <f>M47*$O$2</f>
        <v>3528375.9453000003</v>
      </c>
      <c r="P13" s="60">
        <f>M47*$P$2</f>
        <v>3563659.7047530003</v>
      </c>
      <c r="Q13" s="60">
        <f t="shared" si="5"/>
        <v>3599296.3018005304</v>
      </c>
      <c r="R13" s="60">
        <f t="shared" si="6"/>
        <v>3635289.2648185357</v>
      </c>
      <c r="S13" s="60">
        <f t="shared" ref="S13:S36" si="11">M47*$S$2</f>
        <v>3653465.711142628</v>
      </c>
      <c r="T13" t="s">
        <v>69</v>
      </c>
      <c r="V13" s="16">
        <f t="shared" ref="V13:AJ13" si="12">C8</f>
        <v>471985</v>
      </c>
      <c r="W13" s="16">
        <f t="shared" si="12"/>
        <v>346529</v>
      </c>
      <c r="X13" s="16">
        <f t="shared" si="12"/>
        <v>296967</v>
      </c>
      <c r="Y13" s="16">
        <f t="shared" si="12"/>
        <v>380179</v>
      </c>
      <c r="Z13" s="16">
        <f t="shared" si="12"/>
        <v>587998</v>
      </c>
      <c r="AA13" s="16">
        <f t="shared" si="12"/>
        <v>493262</v>
      </c>
      <c r="AB13" s="16">
        <f t="shared" si="12"/>
        <v>1143987</v>
      </c>
      <c r="AC13" s="16">
        <f t="shared" si="12"/>
        <v>329266</v>
      </c>
      <c r="AD13" s="16">
        <f t="shared" si="12"/>
        <v>463889</v>
      </c>
      <c r="AE13" s="16">
        <f t="shared" si="12"/>
        <v>401902</v>
      </c>
      <c r="AF13" s="16">
        <f t="shared" si="12"/>
        <v>730746</v>
      </c>
      <c r="AG13" s="70">
        <f t="shared" si="12"/>
        <v>738053.46</v>
      </c>
      <c r="AH13" s="70">
        <f t="shared" si="12"/>
        <v>745433.99459999998</v>
      </c>
      <c r="AI13" s="70">
        <f t="shared" si="12"/>
        <v>752888.33454600011</v>
      </c>
      <c r="AJ13" s="70">
        <f t="shared" si="12"/>
        <v>760417.21789146005</v>
      </c>
      <c r="AK13" s="70">
        <f>R8</f>
        <v>768021.39007037471</v>
      </c>
      <c r="AL13" s="70">
        <f>S8</f>
        <v>771861.49702072644</v>
      </c>
      <c r="AP13" s="83" t="s">
        <v>112</v>
      </c>
      <c r="AQ13" s="85">
        <v>5.6099999999999997E-2</v>
      </c>
      <c r="AR13" s="85">
        <v>4.6100000000000002E-2</v>
      </c>
      <c r="AS13" s="85">
        <v>6.6100000000000006E-2</v>
      </c>
    </row>
    <row r="14" spans="1:45" ht="14.4" x14ac:dyDescent="0.3">
      <c r="A14" s="25" t="s">
        <v>23</v>
      </c>
      <c r="B14" s="26"/>
      <c r="C14" s="27">
        <v>792955</v>
      </c>
      <c r="D14" s="27">
        <v>684252</v>
      </c>
      <c r="E14" s="27">
        <v>812344</v>
      </c>
      <c r="F14" s="27">
        <v>821061</v>
      </c>
      <c r="G14" s="27">
        <v>1801103</v>
      </c>
      <c r="H14" s="27">
        <v>1985955</v>
      </c>
      <c r="I14" s="27">
        <v>1988215</v>
      </c>
      <c r="J14" s="27">
        <v>2633174</v>
      </c>
      <c r="K14" s="27">
        <v>2606956</v>
      </c>
      <c r="L14" s="27">
        <v>2696050</v>
      </c>
      <c r="M14" s="48">
        <v>2705753</v>
      </c>
      <c r="N14" s="47">
        <f t="shared" ref="N14:N17" si="13">M48*$N$2</f>
        <v>2732810.5300000003</v>
      </c>
      <c r="O14" s="60">
        <f>M48*$O$2</f>
        <v>2760138.6353000002</v>
      </c>
      <c r="P14" s="60">
        <f>M48*$P$2</f>
        <v>2787740.0216530007</v>
      </c>
      <c r="Q14" s="60">
        <f t="shared" si="5"/>
        <v>2815617.4218695303</v>
      </c>
      <c r="R14" s="60">
        <f t="shared" si="6"/>
        <v>2843773.596088226</v>
      </c>
      <c r="S14" s="60">
        <f t="shared" si="11"/>
        <v>2857992.4640686666</v>
      </c>
      <c r="T14" s="16" t="s">
        <v>70</v>
      </c>
      <c r="U14" s="16"/>
      <c r="V14" s="16">
        <f>V12-V13</f>
        <v>1712479</v>
      </c>
      <c r="W14" s="16">
        <f t="shared" ref="W14:AD14" si="14">W12-W13</f>
        <v>2073998</v>
      </c>
      <c r="X14" s="16">
        <f t="shared" si="14"/>
        <v>2683202</v>
      </c>
      <c r="Y14" s="16">
        <f t="shared" si="14"/>
        <v>2540301</v>
      </c>
      <c r="Z14" s="16">
        <f t="shared" si="14"/>
        <v>3869598</v>
      </c>
      <c r="AA14" s="16">
        <f t="shared" si="14"/>
        <v>3773223</v>
      </c>
      <c r="AB14" s="16">
        <f t="shared" si="14"/>
        <v>3458638</v>
      </c>
      <c r="AC14" s="16">
        <f t="shared" si="14"/>
        <v>4699628</v>
      </c>
      <c r="AD14" s="16">
        <f t="shared" si="14"/>
        <v>4327456</v>
      </c>
      <c r="AE14" s="16">
        <f>AE12-AE13</f>
        <v>4412127</v>
      </c>
      <c r="AF14" s="16">
        <f>AF12-AF13</f>
        <v>4371405</v>
      </c>
      <c r="AG14" s="70">
        <f t="shared" ref="AG14:AL14" si="15">AG12-AG13</f>
        <v>4415119.05</v>
      </c>
      <c r="AH14" s="70">
        <f t="shared" si="15"/>
        <v>4459270.2405000012</v>
      </c>
      <c r="AI14" s="70">
        <f t="shared" si="15"/>
        <v>4503862.9429050013</v>
      </c>
      <c r="AJ14" s="70">
        <f t="shared" si="15"/>
        <v>4548901.5723340511</v>
      </c>
      <c r="AK14" s="70">
        <f t="shared" si="15"/>
        <v>4594390.5880573913</v>
      </c>
      <c r="AL14" s="70">
        <f t="shared" si="15"/>
        <v>4617362.5409976775</v>
      </c>
      <c r="AP14" s="83" t="s">
        <v>113</v>
      </c>
      <c r="AQ14" s="85">
        <v>0.01</v>
      </c>
      <c r="AR14" s="85">
        <v>5.0000000000000001E-3</v>
      </c>
      <c r="AS14" s="85">
        <v>1.4999999999999999E-2</v>
      </c>
    </row>
    <row r="15" spans="1:45" ht="14.4" x14ac:dyDescent="0.3">
      <c r="A15" s="25" t="s">
        <v>24</v>
      </c>
      <c r="B15" s="26"/>
      <c r="C15" s="27">
        <v>294841</v>
      </c>
      <c r="D15" s="27">
        <v>379305</v>
      </c>
      <c r="E15" s="27">
        <v>492737</v>
      </c>
      <c r="F15" s="27">
        <v>369156</v>
      </c>
      <c r="G15" s="27">
        <v>1278292</v>
      </c>
      <c r="H15" s="27">
        <v>1341166</v>
      </c>
      <c r="I15" s="27">
        <v>1295214</v>
      </c>
      <c r="J15" s="27">
        <v>2037588</v>
      </c>
      <c r="K15" s="27">
        <v>1966269</v>
      </c>
      <c r="L15" s="27">
        <v>1879229</v>
      </c>
      <c r="M15" s="48">
        <v>1873866</v>
      </c>
      <c r="N15" s="47">
        <f t="shared" si="13"/>
        <v>1892604.66</v>
      </c>
      <c r="O15" s="60">
        <f>M49*$O$2</f>
        <v>1911530.7065999999</v>
      </c>
      <c r="P15" s="60">
        <f>M49*$P$2</f>
        <v>1930646.0136660002</v>
      </c>
      <c r="Q15" s="60">
        <f t="shared" si="5"/>
        <v>1949952.4738026601</v>
      </c>
      <c r="R15" s="60">
        <f t="shared" si="6"/>
        <v>1969451.9985406867</v>
      </c>
      <c r="S15" s="60">
        <f t="shared" si="11"/>
        <v>1979299.2585333898</v>
      </c>
      <c r="T15" t="s">
        <v>71</v>
      </c>
      <c r="V15" s="16"/>
      <c r="W15" s="16">
        <f>AVERAGE(V14:W14)</f>
        <v>1893238.5</v>
      </c>
      <c r="X15" s="16">
        <f t="shared" ref="X15:AD15" si="16">AVERAGE(W14:X14)</f>
        <v>2378600</v>
      </c>
      <c r="Y15" s="16">
        <f t="shared" si="16"/>
        <v>2611751.5</v>
      </c>
      <c r="Z15" s="16">
        <f t="shared" si="16"/>
        <v>3204949.5</v>
      </c>
      <c r="AA15" s="16">
        <f t="shared" si="16"/>
        <v>3821410.5</v>
      </c>
      <c r="AB15" s="16">
        <f t="shared" si="16"/>
        <v>3615930.5</v>
      </c>
      <c r="AC15" s="16">
        <f t="shared" si="16"/>
        <v>4079133</v>
      </c>
      <c r="AD15" s="16">
        <f t="shared" si="16"/>
        <v>4513542</v>
      </c>
      <c r="AE15" s="16">
        <f>AVERAGE(AD14:AE14)</f>
        <v>4369791.5</v>
      </c>
      <c r="AF15" s="16">
        <f>AVERAGE(AE14:AF14)</f>
        <v>4391766</v>
      </c>
      <c r="AG15" s="70">
        <f t="shared" ref="AG15:AL15" si="17">AVERAGE(AF14:AG14)</f>
        <v>4393262.0250000004</v>
      </c>
      <c r="AH15" s="70">
        <f t="shared" si="17"/>
        <v>4437194.6452500001</v>
      </c>
      <c r="AI15" s="70">
        <f t="shared" si="17"/>
        <v>4481566.5917025013</v>
      </c>
      <c r="AJ15" s="70">
        <f t="shared" si="17"/>
        <v>4526382.2576195262</v>
      </c>
      <c r="AK15" s="70">
        <f t="shared" si="17"/>
        <v>4571646.0801957212</v>
      </c>
      <c r="AL15" s="70">
        <f t="shared" si="17"/>
        <v>4605876.5645275339</v>
      </c>
      <c r="AP15" s="82"/>
      <c r="AQ15" s="98"/>
      <c r="AR15" s="98"/>
      <c r="AS15" s="98"/>
    </row>
    <row r="16" spans="1:45" x14ac:dyDescent="0.25">
      <c r="A16" s="25" t="s">
        <v>25</v>
      </c>
      <c r="B16" s="26"/>
      <c r="C16" s="28">
        <v>142772</v>
      </c>
      <c r="D16" s="28">
        <v>155366</v>
      </c>
      <c r="E16" s="27">
        <v>168365</v>
      </c>
      <c r="F16" s="27">
        <v>251879</v>
      </c>
      <c r="G16" s="27">
        <v>252984</v>
      </c>
      <c r="H16" s="27">
        <v>512000</v>
      </c>
      <c r="I16" s="27">
        <v>555887</v>
      </c>
      <c r="J16" s="27">
        <v>868203</v>
      </c>
      <c r="K16" s="27">
        <v>944989</v>
      </c>
      <c r="L16" s="27">
        <v>1061427</v>
      </c>
      <c r="M16" s="48">
        <v>1111867</v>
      </c>
      <c r="N16" s="47">
        <f t="shared" si="13"/>
        <v>1122985.6700000002</v>
      </c>
      <c r="O16" s="60">
        <f>M50*$O$2</f>
        <v>1134215.5267</v>
      </c>
      <c r="P16" s="60">
        <f>M50*$P$2</f>
        <v>1145557.6819670002</v>
      </c>
      <c r="Q16" s="60">
        <f t="shared" si="5"/>
        <v>1157013.2587866702</v>
      </c>
      <c r="R16" s="60">
        <f t="shared" si="6"/>
        <v>1168583.391374537</v>
      </c>
      <c r="S16" s="60">
        <f t="shared" si="11"/>
        <v>1174426.3083314095</v>
      </c>
      <c r="AG16" s="72"/>
      <c r="AH16" s="72"/>
      <c r="AI16" s="72"/>
      <c r="AJ16" s="72"/>
      <c r="AK16" s="72"/>
      <c r="AL16" s="68"/>
    </row>
    <row r="17" spans="1:38" x14ac:dyDescent="0.25">
      <c r="A17" s="25" t="s">
        <v>19</v>
      </c>
      <c r="B17" s="26"/>
      <c r="C17" s="28">
        <v>0</v>
      </c>
      <c r="D17" s="27">
        <v>36390</v>
      </c>
      <c r="E17" s="27">
        <v>56861</v>
      </c>
      <c r="F17" s="27">
        <v>3023</v>
      </c>
      <c r="G17" s="27">
        <v>1166</v>
      </c>
      <c r="H17" s="27">
        <v>31033</v>
      </c>
      <c r="I17" s="27">
        <v>29369</v>
      </c>
      <c r="J17" s="27">
        <v>40873</v>
      </c>
      <c r="K17" s="27">
        <v>40498</v>
      </c>
      <c r="L17" s="27">
        <v>44454</v>
      </c>
      <c r="M17" s="48">
        <v>37065</v>
      </c>
      <c r="N17" s="47">
        <f t="shared" si="13"/>
        <v>37435.65</v>
      </c>
      <c r="O17" s="60">
        <f>M51*$O$2</f>
        <v>37810.006500000003</v>
      </c>
      <c r="P17" s="60">
        <f>M51*$P$2</f>
        <v>38188.106565000002</v>
      </c>
      <c r="Q17" s="60">
        <f t="shared" si="5"/>
        <v>38569.987630650001</v>
      </c>
      <c r="R17" s="60">
        <f t="shared" si="6"/>
        <v>38955.687506956507</v>
      </c>
      <c r="S17" s="60">
        <f t="shared" si="11"/>
        <v>39150.465944491283</v>
      </c>
      <c r="T17" t="s">
        <v>72</v>
      </c>
      <c r="V17" s="17">
        <f>IS!C8</f>
        <v>7421768</v>
      </c>
      <c r="W17" s="17">
        <f>IS!D8</f>
        <v>7386626</v>
      </c>
      <c r="X17" s="17">
        <f>IS!E8</f>
        <v>7440181</v>
      </c>
      <c r="Y17" s="17">
        <f>IS!F8</f>
        <v>7515426</v>
      </c>
      <c r="Z17" s="17">
        <f>IS!G8</f>
        <v>7791069</v>
      </c>
      <c r="AA17" s="17">
        <f>IS!H8</f>
        <v>7986252</v>
      </c>
      <c r="AB17" s="17">
        <f>IS!I8</f>
        <v>8149719</v>
      </c>
      <c r="AC17" s="17">
        <f>IS!J8</f>
        <v>8971337</v>
      </c>
      <c r="AD17" s="17">
        <f>IS!K8</f>
        <v>10419294</v>
      </c>
      <c r="AE17" s="17">
        <f>IS!L8</f>
        <v>11164992</v>
      </c>
      <c r="AF17" s="17">
        <f>SAISLower!M8</f>
        <v>11202263</v>
      </c>
      <c r="AG17" s="17">
        <f>SAISLower!N8</f>
        <v>11314285.630000001</v>
      </c>
      <c r="AH17" s="17">
        <f>SAISLower!O8</f>
        <v>11427428.486300001</v>
      </c>
      <c r="AI17" s="17">
        <f>SAISLower!P8</f>
        <v>11541702.771163002</v>
      </c>
      <c r="AJ17" s="17">
        <f>SAISLower!Q8</f>
        <v>11657119.798874632</v>
      </c>
      <c r="AK17" s="17">
        <f>SAISLower!R8</f>
        <v>11773690.996863378</v>
      </c>
      <c r="AL17" s="17">
        <f>SAISLower!S8</f>
        <v>11832559.451847693</v>
      </c>
    </row>
    <row r="18" spans="1:38" x14ac:dyDescent="0.25">
      <c r="A18" s="11" t="s">
        <v>26</v>
      </c>
      <c r="B18" s="12"/>
      <c r="C18" s="14">
        <v>5629516</v>
      </c>
      <c r="D18" s="14">
        <v>5344371</v>
      </c>
      <c r="E18" s="14">
        <v>5524333</v>
      </c>
      <c r="F18" s="14">
        <v>5553726</v>
      </c>
      <c r="G18" s="14">
        <v>7703020</v>
      </c>
      <c r="H18" s="14">
        <v>8140395</v>
      </c>
      <c r="I18" s="14">
        <v>9131845</v>
      </c>
      <c r="J18" s="14">
        <v>10412231</v>
      </c>
      <c r="K18" s="14">
        <v>10948820</v>
      </c>
      <c r="L18" s="14">
        <v>11902941</v>
      </c>
      <c r="M18" s="46">
        <v>12946861</v>
      </c>
      <c r="N18" s="46">
        <f t="shared" ref="N18:S18" si="18">SUM(N12:N17)</f>
        <v>13076329.609999999</v>
      </c>
      <c r="O18" s="46">
        <f t="shared" si="18"/>
        <v>13207092.906099999</v>
      </c>
      <c r="P18" s="63">
        <f t="shared" si="18"/>
        <v>13339163.835161002</v>
      </c>
      <c r="Q18" s="63">
        <f t="shared" si="18"/>
        <v>13472555.473512612</v>
      </c>
      <c r="R18" s="63">
        <f t="shared" si="18"/>
        <v>13607281.028247738</v>
      </c>
      <c r="S18" s="63">
        <f t="shared" si="18"/>
        <v>13675317.433388975</v>
      </c>
      <c r="T18" t="s">
        <v>63</v>
      </c>
      <c r="V18" s="16">
        <f>IS!C27</f>
        <v>901207.8</v>
      </c>
      <c r="W18" s="16">
        <f>IS!D27</f>
        <v>601293.80000000005</v>
      </c>
      <c r="X18" s="16">
        <f>IS!E27</f>
        <v>789140.3</v>
      </c>
      <c r="Y18" s="16">
        <f>IS!F27</f>
        <v>863119.45</v>
      </c>
      <c r="Z18" s="16">
        <f>IS!G27</f>
        <v>1339797.3700000001</v>
      </c>
      <c r="AA18" s="16">
        <f>IS!H27</f>
        <v>1316734.72</v>
      </c>
      <c r="AB18" s="16">
        <f>IS!I27</f>
        <v>1502696.79</v>
      </c>
      <c r="AC18" s="16">
        <f>IS!J27</f>
        <v>1677552.42</v>
      </c>
      <c r="AD18" s="16">
        <f>IS!K27</f>
        <v>1916352.6400000001</v>
      </c>
      <c r="AE18" s="16">
        <f>IS!L27</f>
        <v>2169099.37</v>
      </c>
      <c r="AF18" s="16">
        <f>SAISLower!M27</f>
        <v>2556432.84</v>
      </c>
      <c r="AG18" s="16">
        <f>SAISLower!N27</f>
        <v>2581997.1683999998</v>
      </c>
      <c r="AH18" s="16">
        <f>SAISLower!O27</f>
        <v>2607817.1400839994</v>
      </c>
      <c r="AI18" s="16">
        <f>SAISLower!P27</f>
        <v>2633895.3114848393</v>
      </c>
      <c r="AJ18" s="16">
        <f>SAISLower!Q27</f>
        <v>2660234.2645996884</v>
      </c>
      <c r="AK18" s="16">
        <f>SAISLower!R27</f>
        <v>2686836.6072456855</v>
      </c>
      <c r="AL18" s="16">
        <f>SAISLower!S27</f>
        <v>2700270.7902819132</v>
      </c>
    </row>
    <row r="19" spans="1:38" x14ac:dyDescent="0.25">
      <c r="A19" s="25" t="s">
        <v>27</v>
      </c>
      <c r="B19" s="26"/>
      <c r="C19" s="27">
        <v>482017</v>
      </c>
      <c r="D19" s="27">
        <v>474266</v>
      </c>
      <c r="E19" s="27">
        <v>522536</v>
      </c>
      <c r="F19" s="27">
        <v>523229</v>
      </c>
      <c r="G19" s="27">
        <v>502314</v>
      </c>
      <c r="H19" s="27">
        <v>550828</v>
      </c>
      <c r="I19" s="27">
        <v>580058</v>
      </c>
      <c r="J19" s="27">
        <v>692338</v>
      </c>
      <c r="K19" s="27">
        <v>970558</v>
      </c>
      <c r="L19" s="27">
        <v>1086183</v>
      </c>
      <c r="M19" s="48">
        <v>1159177</v>
      </c>
      <c r="N19" s="48">
        <f>M53*$N$2</f>
        <v>1170768.77</v>
      </c>
      <c r="O19" s="60">
        <f>M53*$O$2</f>
        <v>1182476.4577000001</v>
      </c>
      <c r="P19" s="60">
        <f>M53*$P$2</f>
        <v>1194301.2222770003</v>
      </c>
      <c r="Q19" s="60">
        <f t="shared" si="5"/>
        <v>1206244.2344997702</v>
      </c>
      <c r="R19" s="60">
        <f t="shared" si="6"/>
        <v>1218306.676844768</v>
      </c>
      <c r="S19" s="60">
        <f t="shared" si="11"/>
        <v>1224398.2102289915</v>
      </c>
      <c r="T19" t="s">
        <v>73</v>
      </c>
      <c r="V19" s="16"/>
      <c r="W19" s="16">
        <f t="shared" ref="W19:AJ19" si="19">(C37+D37)/2</f>
        <v>1283496</v>
      </c>
      <c r="X19" s="16">
        <f t="shared" si="19"/>
        <v>937574.5</v>
      </c>
      <c r="Y19" s="16">
        <f t="shared" si="19"/>
        <v>879626</v>
      </c>
      <c r="Z19" s="16">
        <f t="shared" si="19"/>
        <v>1169415.5</v>
      </c>
      <c r="AA19" s="16">
        <f t="shared" si="19"/>
        <v>1576130</v>
      </c>
      <c r="AB19" s="16">
        <f t="shared" si="19"/>
        <v>1991438.5</v>
      </c>
      <c r="AC19" s="16">
        <f t="shared" si="19"/>
        <v>2497556</v>
      </c>
      <c r="AD19" s="16">
        <f t="shared" si="19"/>
        <v>3028386.5</v>
      </c>
      <c r="AE19" s="16">
        <f t="shared" si="19"/>
        <v>3699315</v>
      </c>
      <c r="AF19" s="16">
        <f t="shared" si="19"/>
        <v>4406870</v>
      </c>
      <c r="AG19" s="70">
        <f t="shared" si="19"/>
        <v>4738227.2699999996</v>
      </c>
      <c r="AH19" s="70">
        <f t="shared" si="19"/>
        <v>4785609.5426999982</v>
      </c>
      <c r="AI19" s="70">
        <f t="shared" si="19"/>
        <v>4833465.6381269991</v>
      </c>
      <c r="AJ19" s="70">
        <f t="shared" si="19"/>
        <v>4881800.2945082709</v>
      </c>
      <c r="AK19" s="70">
        <f>(Q37+R37)/2</f>
        <v>4930618.2974533532</v>
      </c>
      <c r="AL19" s="70">
        <f>(R37+S37)/2</f>
        <v>4967536.6085860264</v>
      </c>
    </row>
    <row r="20" spans="1:38" x14ac:dyDescent="0.25">
      <c r="A20" s="25" t="s">
        <v>28</v>
      </c>
      <c r="B20" s="26"/>
      <c r="C20" s="27">
        <v>813513</v>
      </c>
      <c r="D20" s="27">
        <v>856967</v>
      </c>
      <c r="E20" s="27">
        <v>750986</v>
      </c>
      <c r="F20" s="27">
        <v>676134</v>
      </c>
      <c r="G20" s="27">
        <v>679163</v>
      </c>
      <c r="H20" s="27">
        <v>702372</v>
      </c>
      <c r="I20" s="27">
        <v>781766</v>
      </c>
      <c r="J20" s="27">
        <v>855638</v>
      </c>
      <c r="K20" s="27">
        <v>832518</v>
      </c>
      <c r="L20" s="27">
        <v>867815</v>
      </c>
      <c r="M20" s="48">
        <v>807341</v>
      </c>
      <c r="N20" s="48">
        <f t="shared" ref="N20:N27" si="20">M54*$N$2</f>
        <v>815414.41</v>
      </c>
      <c r="O20" s="60">
        <f>M54*$O$2</f>
        <v>823568.55410000007</v>
      </c>
      <c r="P20" s="60">
        <f>M54*$P$2</f>
        <v>831804.23964100017</v>
      </c>
      <c r="Q20" s="60">
        <f t="shared" si="5"/>
        <v>840122.28203741007</v>
      </c>
      <c r="R20" s="60">
        <f t="shared" si="6"/>
        <v>848523.50485778425</v>
      </c>
      <c r="S20" s="60">
        <f t="shared" si="11"/>
        <v>852766.12238207296</v>
      </c>
      <c r="T20" s="16" t="s">
        <v>74</v>
      </c>
      <c r="U20" s="16"/>
      <c r="V20" s="16">
        <f>IS!C20</f>
        <v>846912</v>
      </c>
      <c r="W20" s="16">
        <f>IS!D20</f>
        <v>512951</v>
      </c>
      <c r="X20" s="16">
        <f>IS!E20</f>
        <v>720044</v>
      </c>
      <c r="Y20" s="16">
        <f>IS!F20</f>
        <v>782981</v>
      </c>
      <c r="Z20" s="16">
        <f>IS!G20</f>
        <v>1177562</v>
      </c>
      <c r="AA20" s="16">
        <f>IS!H20</f>
        <v>1149692</v>
      </c>
      <c r="AB20" s="16">
        <f>IS!I20</f>
        <v>1278708</v>
      </c>
      <c r="AC20" s="16">
        <f>IS!J20</f>
        <v>1477512</v>
      </c>
      <c r="AD20" s="16">
        <f>IS!K20</f>
        <v>1644817</v>
      </c>
      <c r="AE20" s="16">
        <f>IS!L20</f>
        <v>1861787</v>
      </c>
      <c r="AF20" s="16">
        <f>SAISLower!M20</f>
        <v>2221239</v>
      </c>
      <c r="AG20" s="16">
        <f>SAISLower!N20</f>
        <v>2243451.3899999997</v>
      </c>
      <c r="AH20" s="16">
        <f>SAISLower!O20</f>
        <v>2265885.9038999993</v>
      </c>
      <c r="AI20" s="16">
        <f>SAISLower!P20</f>
        <v>2288544.7629389991</v>
      </c>
      <c r="AJ20" s="16">
        <f>SAISLower!Q20</f>
        <v>2311430.2105683899</v>
      </c>
      <c r="AK20" s="16">
        <f>SAISLower!R20</f>
        <v>2334544.5126740737</v>
      </c>
      <c r="AL20" s="16">
        <f>SAISLower!S20</f>
        <v>2346217.2352374443</v>
      </c>
    </row>
    <row r="21" spans="1:38" x14ac:dyDescent="0.25">
      <c r="A21" s="25" t="s">
        <v>29</v>
      </c>
      <c r="B21" s="26"/>
      <c r="C21" s="27">
        <v>4616</v>
      </c>
      <c r="D21" s="27">
        <v>23243</v>
      </c>
      <c r="E21" s="27">
        <v>3207</v>
      </c>
      <c r="F21" s="27">
        <v>17723</v>
      </c>
      <c r="G21" s="27">
        <v>33773</v>
      </c>
      <c r="H21" s="27">
        <v>19921</v>
      </c>
      <c r="I21" s="27">
        <v>17051</v>
      </c>
      <c r="J21" s="27">
        <v>3070</v>
      </c>
      <c r="K21" s="27">
        <v>6710</v>
      </c>
      <c r="L21" s="27">
        <v>29457</v>
      </c>
      <c r="M21" s="48">
        <v>51036</v>
      </c>
      <c r="N21" s="48">
        <f t="shared" si="20"/>
        <v>51546.360000000008</v>
      </c>
      <c r="O21" s="60">
        <f>M55*$O$2</f>
        <v>52061.823600000003</v>
      </c>
      <c r="P21" s="60">
        <f>M55*$P$2</f>
        <v>52582.441836000005</v>
      </c>
      <c r="Q21" s="60">
        <f t="shared" si="5"/>
        <v>53108.266254360009</v>
      </c>
      <c r="R21" s="60">
        <f t="shared" si="6"/>
        <v>53639.348916903611</v>
      </c>
      <c r="S21" s="60">
        <f t="shared" si="11"/>
        <v>53907.545661488119</v>
      </c>
      <c r="AG21" s="68"/>
      <c r="AH21" s="68"/>
      <c r="AI21" s="68"/>
      <c r="AJ21" s="68"/>
      <c r="AK21" s="68"/>
      <c r="AL21" s="68"/>
    </row>
    <row r="22" spans="1:38" x14ac:dyDescent="0.25">
      <c r="A22" s="29" t="s">
        <v>30</v>
      </c>
      <c r="B22" s="32"/>
      <c r="C22" s="31">
        <v>384696</v>
      </c>
      <c r="D22" s="31">
        <v>363513</v>
      </c>
      <c r="E22" s="31">
        <v>632471</v>
      </c>
      <c r="F22" s="31">
        <v>559359</v>
      </c>
      <c r="G22" s="31">
        <v>1197929</v>
      </c>
      <c r="H22" s="31">
        <v>32282</v>
      </c>
      <c r="I22" s="31">
        <v>74041</v>
      </c>
      <c r="J22" s="31">
        <v>939423</v>
      </c>
      <c r="K22" s="31">
        <v>693790</v>
      </c>
      <c r="L22" s="31">
        <v>719839</v>
      </c>
      <c r="M22" s="49">
        <v>1306976</v>
      </c>
      <c r="N22" s="49">
        <f t="shared" si="20"/>
        <v>1320045.76</v>
      </c>
      <c r="O22" s="31">
        <f t="shared" ref="O22" si="21">M56*$O$2</f>
        <v>1333246.2176000001</v>
      </c>
      <c r="P22" s="31">
        <f>M56*$P$2</f>
        <v>1346578.6797760001</v>
      </c>
      <c r="Q22" s="31">
        <f t="shared" si="5"/>
        <v>1360044.4665737601</v>
      </c>
      <c r="R22" s="31">
        <f t="shared" si="6"/>
        <v>1373644.9112394978</v>
      </c>
      <c r="S22" s="31">
        <f t="shared" si="11"/>
        <v>1380513.135795695</v>
      </c>
      <c r="Z22" s="18"/>
      <c r="AG22" s="68"/>
      <c r="AH22" s="68"/>
      <c r="AI22" s="68"/>
      <c r="AJ22" s="68"/>
      <c r="AK22" s="68"/>
      <c r="AL22" s="68"/>
    </row>
    <row r="23" spans="1:38" x14ac:dyDescent="0.25">
      <c r="A23" s="29" t="s">
        <v>31</v>
      </c>
      <c r="B23" s="32"/>
      <c r="C23" s="31">
        <v>250805</v>
      </c>
      <c r="D23" s="31">
        <v>499923</v>
      </c>
      <c r="E23" s="31">
        <v>243</v>
      </c>
      <c r="F23" s="31">
        <v>300098</v>
      </c>
      <c r="G23" s="31">
        <v>5387</v>
      </c>
      <c r="H23" s="31">
        <v>703390</v>
      </c>
      <c r="I23" s="31">
        <v>438829</v>
      </c>
      <c r="J23" s="31">
        <v>2844</v>
      </c>
      <c r="K23" s="31">
        <v>753578</v>
      </c>
      <c r="L23" s="31">
        <v>305058</v>
      </c>
      <c r="M23" s="49">
        <v>604965</v>
      </c>
      <c r="N23" s="49">
        <f t="shared" si="20"/>
        <v>611014.65</v>
      </c>
      <c r="O23" s="31">
        <f>M57*$O$2</f>
        <v>617124.79650000005</v>
      </c>
      <c r="P23" s="31">
        <f>M57*$P$2</f>
        <v>623296.04446500004</v>
      </c>
      <c r="Q23" s="31">
        <f t="shared" si="5"/>
        <v>629529.00490965007</v>
      </c>
      <c r="R23" s="31">
        <f t="shared" si="6"/>
        <v>635824.29495874653</v>
      </c>
      <c r="S23" s="31">
        <f t="shared" si="11"/>
        <v>639003.41643354017</v>
      </c>
      <c r="T23" t="s">
        <v>75</v>
      </c>
      <c r="V23" s="18"/>
      <c r="W23" s="18">
        <f>W20/W19</f>
        <v>0.39965142080692112</v>
      </c>
      <c r="X23" s="18">
        <f>X20/X19</f>
        <v>0.76798590405349121</v>
      </c>
      <c r="Y23" s="18">
        <f>Y20/Y19</f>
        <v>0.8901294413762213</v>
      </c>
      <c r="Z23" s="18">
        <f>Z20/Z19</f>
        <v>1.006966300686112</v>
      </c>
      <c r="AA23" s="18">
        <f t="shared" ref="AA23:AC23" si="22">AA20/AA19</f>
        <v>0.72943983047083683</v>
      </c>
      <c r="AB23" s="18">
        <f t="shared" si="22"/>
        <v>0.64210268105191293</v>
      </c>
      <c r="AC23" s="18">
        <f t="shared" si="22"/>
        <v>0.59158313166952015</v>
      </c>
      <c r="AD23" s="18">
        <f>AD20/AD19</f>
        <v>0.54313311725567393</v>
      </c>
      <c r="AE23" s="18">
        <f>AE20/AE19</f>
        <v>0.50327885027363173</v>
      </c>
      <c r="AF23" s="18">
        <f>AF20/AF19</f>
        <v>0.50404005564039789</v>
      </c>
      <c r="AG23" s="73">
        <f t="shared" ref="AG23:AL23" si="23">AG20/AG19</f>
        <v>0.47347905918409017</v>
      </c>
      <c r="AH23" s="73">
        <f t="shared" si="23"/>
        <v>0.47347905918409022</v>
      </c>
      <c r="AI23" s="73">
        <f t="shared" si="23"/>
        <v>0.47347905918409006</v>
      </c>
      <c r="AJ23" s="73">
        <f t="shared" si="23"/>
        <v>0.47347905918409006</v>
      </c>
      <c r="AK23" s="73">
        <f t="shared" si="23"/>
        <v>0.47347905918409006</v>
      </c>
      <c r="AL23" s="73">
        <f t="shared" si="23"/>
        <v>0.47231000395290057</v>
      </c>
    </row>
    <row r="24" spans="1:38" x14ac:dyDescent="0.25">
      <c r="A24" s="11" t="s">
        <v>32</v>
      </c>
      <c r="B24" s="12"/>
      <c r="C24" s="14">
        <v>1935647</v>
      </c>
      <c r="D24" s="14">
        <v>2217912</v>
      </c>
      <c r="E24" s="14">
        <v>1909443</v>
      </c>
      <c r="F24" s="14">
        <v>2076543</v>
      </c>
      <c r="G24" s="14">
        <v>2418566</v>
      </c>
      <c r="H24" s="14">
        <v>2008793</v>
      </c>
      <c r="I24" s="14">
        <v>1891745</v>
      </c>
      <c r="J24" s="14">
        <v>2493313</v>
      </c>
      <c r="K24" s="14">
        <v>3257154</v>
      </c>
      <c r="L24" s="14">
        <v>3008352</v>
      </c>
      <c r="M24" s="46">
        <v>3929495</v>
      </c>
      <c r="N24" s="61">
        <f t="shared" ref="N24:S24" si="24">SUM(N19:N23)</f>
        <v>3968789.95</v>
      </c>
      <c r="O24" s="46">
        <f t="shared" si="24"/>
        <v>4008477.8495000005</v>
      </c>
      <c r="P24" s="46">
        <f t="shared" si="24"/>
        <v>4048562.6279950002</v>
      </c>
      <c r="Q24" s="46">
        <f t="shared" si="24"/>
        <v>4089048.2542749499</v>
      </c>
      <c r="R24" s="46">
        <f t="shared" si="24"/>
        <v>4129938.7368177003</v>
      </c>
      <c r="S24" s="46">
        <f t="shared" si="24"/>
        <v>4150588.4305017879</v>
      </c>
      <c r="T24" s="69" t="s">
        <v>63</v>
      </c>
      <c r="V24" s="19">
        <f t="shared" ref="V24:AD24" si="25">V18</f>
        <v>901207.8</v>
      </c>
      <c r="W24" s="19">
        <f t="shared" si="25"/>
        <v>601293.80000000005</v>
      </c>
      <c r="X24" s="19">
        <f t="shared" si="25"/>
        <v>789140.3</v>
      </c>
      <c r="Y24" s="19">
        <f t="shared" si="25"/>
        <v>863119.45</v>
      </c>
      <c r="Z24" s="19">
        <f t="shared" si="25"/>
        <v>1339797.3700000001</v>
      </c>
      <c r="AA24" s="19">
        <f t="shared" si="25"/>
        <v>1316734.72</v>
      </c>
      <c r="AB24" s="19">
        <f t="shared" si="25"/>
        <v>1502696.79</v>
      </c>
      <c r="AC24" s="19">
        <f t="shared" si="25"/>
        <v>1677552.42</v>
      </c>
      <c r="AD24" s="19">
        <f t="shared" si="25"/>
        <v>1916352.6400000001</v>
      </c>
      <c r="AE24" s="19">
        <f>AE18</f>
        <v>2169099.37</v>
      </c>
      <c r="AF24" s="19">
        <f>AF18</f>
        <v>2556432.84</v>
      </c>
      <c r="AG24" s="74">
        <f t="shared" ref="AG24:AL24" si="26">AG18</f>
        <v>2581997.1683999998</v>
      </c>
      <c r="AH24" s="74">
        <f t="shared" si="26"/>
        <v>2607817.1400839994</v>
      </c>
      <c r="AI24" s="74">
        <f t="shared" si="26"/>
        <v>2633895.3114848393</v>
      </c>
      <c r="AJ24" s="74">
        <f t="shared" si="26"/>
        <v>2660234.2645996884</v>
      </c>
      <c r="AK24" s="74">
        <f t="shared" si="26"/>
        <v>2686836.6072456855</v>
      </c>
      <c r="AL24" s="74">
        <f t="shared" si="26"/>
        <v>2700270.7902819132</v>
      </c>
    </row>
    <row r="25" spans="1:38" x14ac:dyDescent="0.25">
      <c r="A25" s="29" t="s">
        <v>33</v>
      </c>
      <c r="B25" s="32"/>
      <c r="C25" s="31">
        <v>1548963</v>
      </c>
      <c r="D25" s="31">
        <v>1557091</v>
      </c>
      <c r="E25" s="31">
        <v>2347455</v>
      </c>
      <c r="F25" s="31">
        <v>2061023</v>
      </c>
      <c r="G25" s="31">
        <v>3254280</v>
      </c>
      <c r="H25" s="31">
        <v>3530813</v>
      </c>
      <c r="I25" s="31">
        <v>4089755</v>
      </c>
      <c r="J25" s="31">
        <v>4086627</v>
      </c>
      <c r="K25" s="31">
        <v>3343977</v>
      </c>
      <c r="L25" s="31">
        <v>3789132</v>
      </c>
      <c r="M25" s="49">
        <v>3190210</v>
      </c>
      <c r="N25" s="49">
        <f t="shared" si="20"/>
        <v>3222112.1</v>
      </c>
      <c r="O25" s="31">
        <f>M59*$O$2</f>
        <v>3254333.2210000004</v>
      </c>
      <c r="P25" s="31">
        <f>M59*$P$2</f>
        <v>3286876.5532100005</v>
      </c>
      <c r="Q25" s="31">
        <f t="shared" si="5"/>
        <v>3319745.3187421006</v>
      </c>
      <c r="R25" s="31">
        <f t="shared" si="6"/>
        <v>3352942.7719295216</v>
      </c>
      <c r="S25" s="31">
        <f t="shared" si="11"/>
        <v>3369707.4857891686</v>
      </c>
      <c r="T25" s="69" t="s">
        <v>66</v>
      </c>
      <c r="V25" s="16">
        <f>V9</f>
        <v>3131494</v>
      </c>
      <c r="W25" s="16">
        <f>W9</f>
        <v>3121460</v>
      </c>
      <c r="X25" s="16">
        <f>X9</f>
        <v>3510889</v>
      </c>
      <c r="Y25" s="16">
        <f>Y9</f>
        <v>3471866</v>
      </c>
      <c r="Z25" s="16">
        <f t="shared" ref="Z25:AD25" si="27">Z9</f>
        <v>5276864</v>
      </c>
      <c r="AA25" s="16">
        <f t="shared" si="27"/>
        <v>5518217</v>
      </c>
      <c r="AB25" s="16">
        <f t="shared" si="27"/>
        <v>5696521</v>
      </c>
      <c r="AC25" s="16">
        <f t="shared" si="27"/>
        <v>7456857</v>
      </c>
      <c r="AD25" s="16">
        <f t="shared" si="27"/>
        <v>7627000</v>
      </c>
      <c r="AE25" s="16">
        <f>AE9</f>
        <v>8511213</v>
      </c>
      <c r="AF25" s="16">
        <f>AF9</f>
        <v>9086059</v>
      </c>
      <c r="AG25" s="70">
        <f t="shared" ref="AG25:AL25" si="28">AG9</f>
        <v>9176919.5900000017</v>
      </c>
      <c r="AH25" s="70">
        <f t="shared" si="28"/>
        <v>9268688.7858999986</v>
      </c>
      <c r="AI25" s="70">
        <f t="shared" si="28"/>
        <v>9361375.6737590004</v>
      </c>
      <c r="AJ25" s="70">
        <f t="shared" si="28"/>
        <v>9454989.4304965921</v>
      </c>
      <c r="AK25" s="70">
        <f t="shared" si="28"/>
        <v>9549539.3248015568</v>
      </c>
      <c r="AL25" s="70">
        <f t="shared" si="28"/>
        <v>9597287.0214255638</v>
      </c>
    </row>
    <row r="26" spans="1:38" x14ac:dyDescent="0.25">
      <c r="A26" s="25" t="s">
        <v>34</v>
      </c>
      <c r="B26" s="26">
        <f>SABSLower!D2</f>
        <v>0</v>
      </c>
      <c r="C26" s="27">
        <v>526003</v>
      </c>
      <c r="D26" s="27">
        <v>468718</v>
      </c>
      <c r="E26" s="27">
        <v>400161</v>
      </c>
      <c r="F26" s="27">
        <v>438939</v>
      </c>
      <c r="G26" s="27">
        <v>446048</v>
      </c>
      <c r="H26" s="27">
        <v>655777</v>
      </c>
      <c r="I26" s="27">
        <v>683434</v>
      </c>
      <c r="J26" s="27">
        <v>787058</v>
      </c>
      <c r="K26" s="27">
        <v>719742</v>
      </c>
      <c r="L26" s="27">
        <v>660673</v>
      </c>
      <c r="M26" s="47">
        <v>688259</v>
      </c>
      <c r="N26" s="48">
        <f t="shared" si="20"/>
        <v>695141.59</v>
      </c>
      <c r="O26" s="60">
        <f>M60*$O$2</f>
        <v>702093.00589999999</v>
      </c>
      <c r="P26" s="60">
        <f>M60*$P$2</f>
        <v>709113.93595900002</v>
      </c>
      <c r="Q26" s="60">
        <f t="shared" si="5"/>
        <v>716205.07531859004</v>
      </c>
      <c r="R26" s="60">
        <f t="shared" si="6"/>
        <v>723367.12607177603</v>
      </c>
      <c r="S26" s="60">
        <f t="shared" si="11"/>
        <v>726983.96170213469</v>
      </c>
      <c r="T26" t="s">
        <v>70</v>
      </c>
      <c r="V26" s="16">
        <f>V14</f>
        <v>1712479</v>
      </c>
      <c r="W26" s="16">
        <f>W14</f>
        <v>2073998</v>
      </c>
      <c r="X26" s="16">
        <f>X14</f>
        <v>2683202</v>
      </c>
      <c r="Y26" s="16">
        <f>Y14</f>
        <v>2540301</v>
      </c>
      <c r="Z26" s="16">
        <f t="shared" ref="Z26:AD26" si="29">Z14</f>
        <v>3869598</v>
      </c>
      <c r="AA26" s="16">
        <f t="shared" si="29"/>
        <v>3773223</v>
      </c>
      <c r="AB26" s="16">
        <f t="shared" si="29"/>
        <v>3458638</v>
      </c>
      <c r="AC26" s="16">
        <f t="shared" si="29"/>
        <v>4699628</v>
      </c>
      <c r="AD26" s="16">
        <f t="shared" si="29"/>
        <v>4327456</v>
      </c>
      <c r="AE26" s="16">
        <f>AE14</f>
        <v>4412127</v>
      </c>
      <c r="AF26" s="16">
        <f>AF14</f>
        <v>4371405</v>
      </c>
      <c r="AG26" s="70">
        <f t="shared" ref="AG26:AL26" si="30">AG14</f>
        <v>4415119.05</v>
      </c>
      <c r="AH26" s="70">
        <f t="shared" si="30"/>
        <v>4459270.2405000012</v>
      </c>
      <c r="AI26" s="70">
        <f t="shared" si="30"/>
        <v>4503862.9429050013</v>
      </c>
      <c r="AJ26" s="70">
        <f t="shared" si="30"/>
        <v>4548901.5723340511</v>
      </c>
      <c r="AK26" s="70">
        <f t="shared" si="30"/>
        <v>4594390.5880573913</v>
      </c>
      <c r="AL26" s="70">
        <f t="shared" si="30"/>
        <v>4617362.5409976775</v>
      </c>
    </row>
    <row r="27" spans="1:38" x14ac:dyDescent="0.25">
      <c r="A27" s="25" t="s">
        <v>19</v>
      </c>
      <c r="B27" s="26"/>
      <c r="C27" s="27">
        <v>99373</v>
      </c>
      <c r="D27" s="27">
        <v>53188</v>
      </c>
      <c r="E27" s="27">
        <v>39587</v>
      </c>
      <c r="F27" s="27">
        <v>45656</v>
      </c>
      <c r="G27" s="27">
        <v>176860</v>
      </c>
      <c r="H27" s="27">
        <v>200018</v>
      </c>
      <c r="I27" s="27">
        <v>229028</v>
      </c>
      <c r="J27" s="27">
        <v>288004</v>
      </c>
      <c r="K27" s="27">
        <v>328403</v>
      </c>
      <c r="L27" s="27">
        <v>345698</v>
      </c>
      <c r="M27" s="48">
        <v>424243</v>
      </c>
      <c r="N27" s="48">
        <f t="shared" si="20"/>
        <v>428485.43000000005</v>
      </c>
      <c r="O27" s="60">
        <f>M61*$O$2</f>
        <v>432770.28430000006</v>
      </c>
      <c r="P27" s="60">
        <f>M61*$P$2</f>
        <v>437097.98714300006</v>
      </c>
      <c r="Q27" s="60">
        <f t="shared" si="5"/>
        <v>441468.96701443009</v>
      </c>
      <c r="R27" s="60">
        <f t="shared" si="6"/>
        <v>445883.65668457438</v>
      </c>
      <c r="S27" s="60">
        <f t="shared" si="11"/>
        <v>448113.07496799715</v>
      </c>
      <c r="T27" t="s">
        <v>76</v>
      </c>
      <c r="V27" s="18"/>
      <c r="W27" s="18">
        <f>W24/W10</f>
        <v>0.19232311640226366</v>
      </c>
      <c r="X27" s="18">
        <f>X24/X10</f>
        <v>0.2379670611422891</v>
      </c>
      <c r="Y27" s="18">
        <f>Y24/Y10</f>
        <v>0.24721458793842829</v>
      </c>
      <c r="Z27" s="18">
        <f t="shared" ref="Z27:AD27" si="31">Z24/Z10</f>
        <v>0.30628385377077588</v>
      </c>
      <c r="AA27" s="18">
        <f t="shared" si="31"/>
        <v>0.24395087355064773</v>
      </c>
      <c r="AB27" s="18">
        <f t="shared" si="31"/>
        <v>0.26798607154264326</v>
      </c>
      <c r="AC27" s="18">
        <f t="shared" si="31"/>
        <v>0.2550755281266911</v>
      </c>
      <c r="AD27" s="18">
        <f t="shared" si="31"/>
        <v>0.25409318584762508</v>
      </c>
      <c r="AE27" s="18">
        <f>AE24/AE10</f>
        <v>0.268815310592319</v>
      </c>
      <c r="AF27" s="18">
        <f>AF24/AF10</f>
        <v>0.29054876687704773</v>
      </c>
      <c r="AG27" s="73">
        <f t="shared" ref="AG27:AL27" si="32">AG24/AG10</f>
        <v>0.28275750920649789</v>
      </c>
      <c r="AH27" s="73">
        <f t="shared" si="32"/>
        <v>0.28275750920649789</v>
      </c>
      <c r="AI27" s="73">
        <f t="shared" si="32"/>
        <v>0.28275750920649789</v>
      </c>
      <c r="AJ27" s="73">
        <f t="shared" si="32"/>
        <v>0.28275750920649789</v>
      </c>
      <c r="AK27" s="73">
        <f t="shared" si="32"/>
        <v>0.28275750920649795</v>
      </c>
      <c r="AL27" s="73">
        <f t="shared" si="32"/>
        <v>0.28205935975535718</v>
      </c>
    </row>
    <row r="28" spans="1:38" x14ac:dyDescent="0.25">
      <c r="A28" s="11" t="s">
        <v>35</v>
      </c>
      <c r="B28" s="12"/>
      <c r="C28" s="14">
        <v>4109986</v>
      </c>
      <c r="D28" s="14">
        <v>4296909</v>
      </c>
      <c r="E28" s="14">
        <v>4696646</v>
      </c>
      <c r="F28" s="14">
        <v>4622161</v>
      </c>
      <c r="G28" s="14">
        <v>6295754</v>
      </c>
      <c r="H28" s="14">
        <v>6395401</v>
      </c>
      <c r="I28" s="14">
        <v>6893962</v>
      </c>
      <c r="J28" s="14">
        <v>7655002</v>
      </c>
      <c r="K28" s="14">
        <v>7649276</v>
      </c>
      <c r="L28" s="14">
        <v>7803855</v>
      </c>
      <c r="M28" s="45">
        <v>8232207</v>
      </c>
      <c r="N28" s="45">
        <f t="shared" ref="N28:S28" si="33">SUM(N24:N27)</f>
        <v>8314529.0700000003</v>
      </c>
      <c r="O28" s="45">
        <f t="shared" si="33"/>
        <v>8397674.3607000019</v>
      </c>
      <c r="P28" s="45">
        <f t="shared" si="33"/>
        <v>8481651.1043070015</v>
      </c>
      <c r="Q28" s="45">
        <f t="shared" si="33"/>
        <v>8566467.6153500713</v>
      </c>
      <c r="R28" s="45">
        <f t="shared" si="33"/>
        <v>8652132.2915035728</v>
      </c>
      <c r="S28" s="45">
        <f t="shared" si="33"/>
        <v>8695392.9529610872</v>
      </c>
      <c r="T28" s="69" t="s">
        <v>77</v>
      </c>
      <c r="V28" s="18">
        <f>V24/V17</f>
        <v>0.12142764365579739</v>
      </c>
      <c r="W28" s="18">
        <f>W24/W17</f>
        <v>8.1403038410229528E-2</v>
      </c>
      <c r="X28" s="18">
        <f>X24/X17</f>
        <v>0.10606466428706507</v>
      </c>
      <c r="Y28" s="18">
        <f>Y24/Y17</f>
        <v>0.11484637730449344</v>
      </c>
      <c r="Z28" s="18">
        <f t="shared" ref="Z28:AD28" si="34">Z24/Z17</f>
        <v>0.1719657944243595</v>
      </c>
      <c r="AA28" s="18">
        <f t="shared" si="34"/>
        <v>0.16487517799338161</v>
      </c>
      <c r="AB28" s="18">
        <f t="shared" si="34"/>
        <v>0.1843863316023534</v>
      </c>
      <c r="AC28" s="18">
        <f t="shared" si="34"/>
        <v>0.18699023568059031</v>
      </c>
      <c r="AD28" s="18">
        <f t="shared" si="34"/>
        <v>0.18392346352833505</v>
      </c>
      <c r="AE28" s="18">
        <f>AE24/AE17</f>
        <v>0.19427684050288618</v>
      </c>
      <c r="AF28" s="18">
        <f>AF24/AF17</f>
        <v>0.22820682213941951</v>
      </c>
      <c r="AG28" s="73">
        <f t="shared" ref="AG28:AJ28" si="35">AG24/AG17</f>
        <v>0.22820682213941948</v>
      </c>
      <c r="AH28" s="73">
        <f t="shared" si="35"/>
        <v>0.22820682213941942</v>
      </c>
      <c r="AI28" s="73">
        <f t="shared" si="35"/>
        <v>0.22820682213941942</v>
      </c>
      <c r="AJ28" s="73">
        <f t="shared" si="35"/>
        <v>0.22820682213941948</v>
      </c>
      <c r="AK28" s="73">
        <f>AK24/AK17</f>
        <v>0.22820682213941948</v>
      </c>
      <c r="AL28" s="73">
        <f>AL24/AL17</f>
        <v>0.22820682213941948</v>
      </c>
    </row>
    <row r="29" spans="1:38" x14ac:dyDescent="0.25">
      <c r="A29" s="29" t="s">
        <v>36</v>
      </c>
      <c r="B29" s="32"/>
      <c r="C29" s="31">
        <v>299281</v>
      </c>
      <c r="D29" s="31">
        <v>299281</v>
      </c>
      <c r="E29" s="31">
        <v>299281</v>
      </c>
      <c r="F29" s="31">
        <v>299281</v>
      </c>
      <c r="G29" s="31">
        <v>299287</v>
      </c>
      <c r="H29" s="31">
        <v>160939</v>
      </c>
      <c r="I29" s="31">
        <v>160939</v>
      </c>
      <c r="J29" s="31">
        <v>160939</v>
      </c>
      <c r="K29" s="31">
        <v>163439</v>
      </c>
      <c r="L29" s="31">
        <v>166939</v>
      </c>
      <c r="M29" s="50" t="s">
        <v>85</v>
      </c>
      <c r="N29" s="50" t="s">
        <v>85</v>
      </c>
      <c r="O29" s="50" t="s">
        <v>85</v>
      </c>
      <c r="P29" s="50" t="s">
        <v>85</v>
      </c>
      <c r="Q29" s="50" t="s">
        <v>85</v>
      </c>
      <c r="R29" s="50" t="s">
        <v>85</v>
      </c>
      <c r="S29" s="31">
        <f t="shared" si="11"/>
        <v>0</v>
      </c>
      <c r="T29" s="69" t="s">
        <v>78</v>
      </c>
      <c r="U29" s="16"/>
      <c r="W29" s="24">
        <f>W17/W10</f>
        <v>2.3626036590066071</v>
      </c>
      <c r="X29" s="24">
        <f>X17/X10</f>
        <v>2.2436035859994701</v>
      </c>
      <c r="Y29" s="24">
        <f>Y17/Y10</f>
        <v>2.1525675754054094</v>
      </c>
      <c r="Z29" s="24">
        <f t="shared" ref="Z29:AE29" si="36">Z17/Z10</f>
        <v>1.781074281638592</v>
      </c>
      <c r="AA29" s="24">
        <f t="shared" si="36"/>
        <v>1.4796094628655403</v>
      </c>
      <c r="AB29" s="24">
        <f t="shared" si="36"/>
        <v>1.4533944529065235</v>
      </c>
      <c r="AC29" s="24">
        <f t="shared" si="36"/>
        <v>1.3641114852777743</v>
      </c>
      <c r="AD29" s="24">
        <f t="shared" si="36"/>
        <v>1.3815158815149202</v>
      </c>
      <c r="AE29" s="24">
        <f t="shared" si="36"/>
        <v>1.383671413929163</v>
      </c>
      <c r="AF29" s="24">
        <f>AF17/AF10</f>
        <v>1.2731817749933059</v>
      </c>
      <c r="AG29" s="75">
        <f>AG17/AG10</f>
        <v>1.2390405622218932</v>
      </c>
      <c r="AH29" s="75">
        <f>AH17/AH10</f>
        <v>1.2390405622218934</v>
      </c>
      <c r="AI29" s="75">
        <f>AI17/AI10</f>
        <v>1.2390405622218936</v>
      </c>
      <c r="AJ29" s="75">
        <f t="shared" ref="AJ29:AL29" si="37">AJ17/AJ10</f>
        <v>1.2390405622218932</v>
      </c>
      <c r="AK29" s="75">
        <f t="shared" si="37"/>
        <v>1.2390405622218934</v>
      </c>
      <c r="AL29" s="75">
        <f t="shared" si="37"/>
        <v>1.2359812783468731</v>
      </c>
    </row>
    <row r="30" spans="1:38" x14ac:dyDescent="0.25">
      <c r="A30" s="29" t="s">
        <v>37</v>
      </c>
      <c r="B30" s="32"/>
      <c r="C30" s="31">
        <v>60620</v>
      </c>
      <c r="D30" s="31">
        <v>60620</v>
      </c>
      <c r="E30" s="31">
        <v>60620</v>
      </c>
      <c r="F30" s="31">
        <v>60620</v>
      </c>
      <c r="G30" s="31">
        <v>60614</v>
      </c>
      <c r="H30" s="31">
        <v>60614</v>
      </c>
      <c r="I30" s="31">
        <v>60614</v>
      </c>
      <c r="J30" s="31">
        <v>60614</v>
      </c>
      <c r="K30" s="31">
        <v>58114</v>
      </c>
      <c r="L30" s="31">
        <v>54614</v>
      </c>
      <c r="M30" s="50" t="s">
        <v>86</v>
      </c>
      <c r="N30" s="50" t="s">
        <v>86</v>
      </c>
      <c r="O30" s="50" t="s">
        <v>86</v>
      </c>
      <c r="P30" s="50" t="s">
        <v>86</v>
      </c>
      <c r="Q30" s="50" t="s">
        <v>86</v>
      </c>
      <c r="R30" s="50" t="s">
        <v>86</v>
      </c>
      <c r="S30" s="31">
        <f t="shared" si="11"/>
        <v>0</v>
      </c>
      <c r="T30" t="s">
        <v>79</v>
      </c>
      <c r="V30" s="20"/>
      <c r="W30" s="20">
        <f>W15/W19</f>
        <v>1.4750638100936817</v>
      </c>
      <c r="X30" s="20">
        <f>X15/X19</f>
        <v>2.53697172864663</v>
      </c>
      <c r="Y30" s="20">
        <f>Y15/Y19</f>
        <v>2.969161325381469</v>
      </c>
      <c r="Z30" s="20">
        <f t="shared" ref="Z30:AD30" si="38">Z15/Z19</f>
        <v>2.7406422268218611</v>
      </c>
      <c r="AA30" s="20">
        <f t="shared" si="38"/>
        <v>2.4245528604873963</v>
      </c>
      <c r="AB30" s="20">
        <f t="shared" si="38"/>
        <v>1.815737970316432</v>
      </c>
      <c r="AC30" s="20">
        <f t="shared" si="38"/>
        <v>1.6332498650680907</v>
      </c>
      <c r="AD30" s="20">
        <f t="shared" si="38"/>
        <v>1.4904114781914395</v>
      </c>
      <c r="AE30" s="20">
        <f>AE15/AE19</f>
        <v>1.181243419389806</v>
      </c>
      <c r="AF30" s="20">
        <f>AF15/AF19</f>
        <v>0.99657262410735969</v>
      </c>
      <c r="AG30" s="76">
        <f>AG15/AG19</f>
        <v>0.92719529365251419</v>
      </c>
      <c r="AH30" s="76">
        <f>AH15/AH19</f>
        <v>0.92719529365251441</v>
      </c>
      <c r="AI30" s="76">
        <f t="shared" ref="AI30:AL30" si="39">AI15/AI19</f>
        <v>0.92719529365251452</v>
      </c>
      <c r="AJ30" s="76">
        <f t="shared" si="39"/>
        <v>0.92719529365251419</v>
      </c>
      <c r="AK30" s="76">
        <f t="shared" si="39"/>
        <v>0.92719529365251419</v>
      </c>
      <c r="AL30" s="76">
        <f t="shared" si="39"/>
        <v>0.92719529365251396</v>
      </c>
    </row>
    <row r="31" spans="1:38" x14ac:dyDescent="0.25">
      <c r="A31" s="29" t="s">
        <v>38</v>
      </c>
      <c r="B31" s="32"/>
      <c r="C31" s="31">
        <v>754186</v>
      </c>
      <c r="D31" s="31">
        <v>783877</v>
      </c>
      <c r="E31" s="31">
        <v>869857</v>
      </c>
      <c r="F31" s="31">
        <v>924978</v>
      </c>
      <c r="G31" s="31">
        <v>982205</v>
      </c>
      <c r="H31" s="31">
        <v>1142210</v>
      </c>
      <c r="I31" s="31">
        <v>1191200</v>
      </c>
      <c r="J31" s="31">
        <v>1260331</v>
      </c>
      <c r="K31" s="31">
        <v>1296572</v>
      </c>
      <c r="L31" s="31">
        <v>1345580</v>
      </c>
      <c r="M31" s="49">
        <v>1377226</v>
      </c>
      <c r="N31" s="49">
        <f>M65*$N$2</f>
        <v>1390998.26</v>
      </c>
      <c r="O31" s="31">
        <f>M65*$O$2</f>
        <v>1404908.2426</v>
      </c>
      <c r="P31" s="31">
        <f>M65*$P$2</f>
        <v>1418957.3250260002</v>
      </c>
      <c r="Q31" s="31">
        <f>M65*$Q$2</f>
        <v>1433146.8982762601</v>
      </c>
      <c r="R31" s="31">
        <f t="shared" si="6"/>
        <v>1447478.3672590228</v>
      </c>
      <c r="S31" s="31">
        <f t="shared" si="11"/>
        <v>1454715.7590953177</v>
      </c>
      <c r="T31" t="s">
        <v>80</v>
      </c>
      <c r="V31" s="18"/>
      <c r="W31" s="18">
        <f>W27-((W18-W20)/W15)</f>
        <v>0.14566084960386502</v>
      </c>
      <c r="X31" s="18">
        <f>X27-((X18-X20)/X15)</f>
        <v>0.20891791458549097</v>
      </c>
      <c r="Y31" s="18">
        <f>Y27-((Y18-Y20)/Y15)</f>
        <v>0.21653079202599176</v>
      </c>
      <c r="Z31" s="18">
        <f t="shared" ref="Z31:AD31" si="40">Z27-((Z18-Z20)/Z15)</f>
        <v>0.25566359594768068</v>
      </c>
      <c r="AA31" s="18">
        <f t="shared" si="40"/>
        <v>0.20023855319145054</v>
      </c>
      <c r="AB31" s="18">
        <f t="shared" si="40"/>
        <v>0.2060410784074046</v>
      </c>
      <c r="AC31" s="18">
        <f t="shared" si="40"/>
        <v>0.20603559243447417</v>
      </c>
      <c r="AD31" s="18">
        <f t="shared" si="40"/>
        <v>0.19393297464320955</v>
      </c>
      <c r="AE31" s="18">
        <f>AE27-((AE18-AE20)/AE15)</f>
        <v>0.19848875839869601</v>
      </c>
      <c r="AF31" s="18">
        <f>AF27-((AF18-AF20)/AF15)</f>
        <v>0.21422552014668916</v>
      </c>
      <c r="AG31" s="73">
        <f>AG27-((AG18-AG20)/AG15)</f>
        <v>0.20569728004796045</v>
      </c>
      <c r="AH31" s="73">
        <f>AH27-((AH18-AH20)/AH15)</f>
        <v>0.20569728004796051</v>
      </c>
      <c r="AI31" s="73">
        <f t="shared" ref="AI31:AL31" si="41">AI27-((AI18-AI20)/AI15)</f>
        <v>0.20569728004796048</v>
      </c>
      <c r="AJ31" s="73">
        <f t="shared" si="41"/>
        <v>0.20569728004796051</v>
      </c>
      <c r="AK31" s="73">
        <f t="shared" si="41"/>
        <v>0.20569728004796048</v>
      </c>
      <c r="AL31" s="73">
        <f t="shared" si="41"/>
        <v>0.20518939806961944</v>
      </c>
    </row>
    <row r="32" spans="1:38" x14ac:dyDescent="0.25">
      <c r="A32" s="29" t="s">
        <v>39</v>
      </c>
      <c r="B32" s="32"/>
      <c r="C32" s="31">
        <v>5860784</v>
      </c>
      <c r="D32" s="31">
        <v>5897603</v>
      </c>
      <c r="E32" s="31">
        <v>6115961</v>
      </c>
      <c r="F32" s="31">
        <v>6371082</v>
      </c>
      <c r="G32" s="31">
        <v>7032020</v>
      </c>
      <c r="H32" s="31">
        <v>1290461</v>
      </c>
      <c r="I32" s="31">
        <v>1928673</v>
      </c>
      <c r="J32" s="31">
        <v>2719936</v>
      </c>
      <c r="K32" s="31">
        <v>3589781</v>
      </c>
      <c r="L32" s="31">
        <v>4562263</v>
      </c>
      <c r="M32" s="49">
        <v>5698316</v>
      </c>
      <c r="N32" s="49">
        <f>M66*$N$2</f>
        <v>5755299.1600000001</v>
      </c>
      <c r="O32" s="31">
        <f>M66*$O$2</f>
        <v>5812852.1516000004</v>
      </c>
      <c r="P32" s="31">
        <f>M66*$P$2</f>
        <v>5870980.6731160013</v>
      </c>
      <c r="Q32" s="31">
        <f t="shared" si="5"/>
        <v>5929690.4798471611</v>
      </c>
      <c r="R32" s="31">
        <f t="shared" si="6"/>
        <v>5988987.3846456325</v>
      </c>
      <c r="S32" s="31">
        <f t="shared" si="11"/>
        <v>6018932.3215688597</v>
      </c>
      <c r="AG32" s="68"/>
      <c r="AH32" s="68"/>
      <c r="AI32" s="68"/>
      <c r="AJ32" s="68"/>
      <c r="AK32" s="68"/>
      <c r="AL32" s="68"/>
    </row>
    <row r="33" spans="1:38" x14ac:dyDescent="0.25">
      <c r="A33" s="29" t="s">
        <v>40</v>
      </c>
      <c r="B33" s="32"/>
      <c r="C33" s="31">
        <v>-5161236</v>
      </c>
      <c r="D33" s="31">
        <v>-5672359</v>
      </c>
      <c r="E33" s="31">
        <v>-6183975</v>
      </c>
      <c r="F33" s="31">
        <v>-6426877</v>
      </c>
      <c r="G33" s="31">
        <v>-6618625</v>
      </c>
      <c r="H33" s="31">
        <v>-591036</v>
      </c>
      <c r="I33" s="31">
        <v>-768992</v>
      </c>
      <c r="J33" s="31">
        <v>-1195376</v>
      </c>
      <c r="K33" s="31">
        <v>-1556029</v>
      </c>
      <c r="L33" s="31">
        <v>-1800232</v>
      </c>
      <c r="M33" s="49">
        <v>-2278551</v>
      </c>
      <c r="N33" s="49">
        <f>M67*$N$2</f>
        <v>-2301336.5100000002</v>
      </c>
      <c r="O33" s="31">
        <f>M67*$O$2</f>
        <v>-2324349.8751000003</v>
      </c>
      <c r="P33" s="31">
        <f>M67*$P$2</f>
        <v>-2347593.3738510003</v>
      </c>
      <c r="Q33" s="31">
        <f t="shared" si="5"/>
        <v>-2371069.3075895105</v>
      </c>
      <c r="R33" s="31">
        <f t="shared" si="6"/>
        <v>-2394780.0006654053</v>
      </c>
      <c r="S33" s="31">
        <f t="shared" si="11"/>
        <v>-2406753.9006687319</v>
      </c>
      <c r="T33" t="s">
        <v>81</v>
      </c>
      <c r="V33" s="18"/>
      <c r="W33" s="18">
        <f>W27+(W30*W31)</f>
        <v>0.40718216420042352</v>
      </c>
      <c r="X33" s="18">
        <f t="shared" ref="X33:AD33" si="42">X27+(X30*X31)</f>
        <v>0.7679859040534911</v>
      </c>
      <c r="Y33" s="18">
        <f t="shared" si="42"/>
        <v>0.8901294413762213</v>
      </c>
      <c r="Z33" s="18">
        <f t="shared" si="42"/>
        <v>1.006966300686112</v>
      </c>
      <c r="AA33" s="18">
        <f t="shared" si="42"/>
        <v>0.72943983047083683</v>
      </c>
      <c r="AB33" s="18">
        <f t="shared" si="42"/>
        <v>0.64210268105191293</v>
      </c>
      <c r="AC33" s="18">
        <f t="shared" si="42"/>
        <v>0.59158313166952015</v>
      </c>
      <c r="AD33" s="18">
        <f t="shared" si="42"/>
        <v>0.54313311725567393</v>
      </c>
      <c r="AE33" s="18">
        <f>AE27+(AE30*AE31)</f>
        <v>0.50327885027363173</v>
      </c>
      <c r="AF33" s="18">
        <f>AF27+(AF30*AF31)</f>
        <v>0.50404005564039778</v>
      </c>
      <c r="AG33" s="73">
        <f>AG27+(AG30*AG31)</f>
        <v>0.47347905918409006</v>
      </c>
      <c r="AH33" s="73">
        <f t="shared" ref="AH33:AL33" si="43">AH27+(AH30*AH31)</f>
        <v>0.47347905918409017</v>
      </c>
      <c r="AI33" s="73">
        <f t="shared" si="43"/>
        <v>0.47347905918409011</v>
      </c>
      <c r="AJ33" s="73">
        <f t="shared" si="43"/>
        <v>0.47347905918409006</v>
      </c>
      <c r="AK33" s="73">
        <f t="shared" si="43"/>
        <v>0.47347905918409011</v>
      </c>
      <c r="AL33" s="73">
        <f t="shared" si="43"/>
        <v>0.47231000395290057</v>
      </c>
    </row>
    <row r="34" spans="1:38" x14ac:dyDescent="0.25">
      <c r="A34" s="29" t="s">
        <v>41</v>
      </c>
      <c r="B34" s="32"/>
      <c r="C34" s="31">
        <v>-358573</v>
      </c>
      <c r="D34" s="31">
        <v>-371025</v>
      </c>
      <c r="E34" s="31">
        <v>-375888</v>
      </c>
      <c r="F34" s="31">
        <v>-313746</v>
      </c>
      <c r="G34" s="31">
        <v>-356780</v>
      </c>
      <c r="H34" s="31">
        <v>-323966</v>
      </c>
      <c r="I34" s="31">
        <v>-338082</v>
      </c>
      <c r="J34" s="31">
        <v>-249215</v>
      </c>
      <c r="K34" s="31">
        <v>-252333</v>
      </c>
      <c r="L34" s="31">
        <v>-230078</v>
      </c>
      <c r="M34" s="49">
        <v>-303890</v>
      </c>
      <c r="N34" s="49">
        <f>M68*$N$2</f>
        <v>-306928.90000000002</v>
      </c>
      <c r="O34" s="31">
        <f>M68*$O$2</f>
        <v>-309998.18900000001</v>
      </c>
      <c r="P34" s="31">
        <f>M68*$P$2</f>
        <v>-313098.17089000007</v>
      </c>
      <c r="Q34" s="31">
        <f t="shared" si="5"/>
        <v>-316229.15259890002</v>
      </c>
      <c r="R34" s="31">
        <f t="shared" si="6"/>
        <v>-319391.44412488904</v>
      </c>
      <c r="S34" s="31">
        <f t="shared" si="11"/>
        <v>-320988.40134551347</v>
      </c>
      <c r="AG34" s="68"/>
      <c r="AH34" s="68"/>
      <c r="AI34" s="68"/>
      <c r="AJ34" s="68"/>
      <c r="AK34" s="68"/>
      <c r="AL34" s="68"/>
    </row>
    <row r="35" spans="1:38" x14ac:dyDescent="0.25">
      <c r="A35" s="11" t="s">
        <v>42</v>
      </c>
      <c r="B35" s="12"/>
      <c r="C35" s="14">
        <v>1455062</v>
      </c>
      <c r="D35" s="14">
        <v>997997</v>
      </c>
      <c r="E35" s="14">
        <v>785856</v>
      </c>
      <c r="F35" s="14">
        <v>915338</v>
      </c>
      <c r="G35" s="14">
        <v>1398721</v>
      </c>
      <c r="H35" s="14">
        <v>1739222</v>
      </c>
      <c r="I35" s="14">
        <v>2234352</v>
      </c>
      <c r="J35" s="14">
        <v>2757229</v>
      </c>
      <c r="K35" s="14">
        <v>3299544</v>
      </c>
      <c r="L35" s="14">
        <v>4099086</v>
      </c>
      <c r="M35" s="46">
        <v>4714654</v>
      </c>
      <c r="N35" s="46">
        <f>N18-N28</f>
        <v>4761800.5399999991</v>
      </c>
      <c r="O35" s="46">
        <f t="shared" ref="O35:Q35" si="44">O18-O28</f>
        <v>4809418.5453999974</v>
      </c>
      <c r="P35" s="46">
        <f t="shared" si="44"/>
        <v>4857512.7308540009</v>
      </c>
      <c r="Q35" s="46">
        <f t="shared" si="44"/>
        <v>4906087.8581625409</v>
      </c>
      <c r="R35" s="46">
        <f>R18-R28</f>
        <v>4955148.7367441654</v>
      </c>
      <c r="S35" s="46">
        <f>S18-S28</f>
        <v>4979924.4804278873</v>
      </c>
      <c r="T35" s="6"/>
      <c r="U35" s="6"/>
      <c r="V35" s="6"/>
      <c r="W35" s="6"/>
      <c r="X35" s="6"/>
      <c r="Y35" s="6"/>
      <c r="Z35" s="6"/>
      <c r="AA35" s="6"/>
      <c r="AB35" s="6"/>
      <c r="AC35" s="6"/>
      <c r="AF35">
        <v>2024</v>
      </c>
      <c r="AG35" s="69">
        <v>2025</v>
      </c>
      <c r="AH35" s="69">
        <v>2026</v>
      </c>
      <c r="AI35" s="69">
        <v>2027</v>
      </c>
      <c r="AJ35" s="69">
        <v>2028</v>
      </c>
      <c r="AK35" s="69">
        <v>2029</v>
      </c>
      <c r="AL35" s="102" t="s">
        <v>104</v>
      </c>
    </row>
    <row r="36" spans="1:38" x14ac:dyDescent="0.25">
      <c r="A36" s="29" t="s">
        <v>43</v>
      </c>
      <c r="B36" s="32"/>
      <c r="C36" s="31">
        <v>64468</v>
      </c>
      <c r="D36" s="31">
        <v>49465</v>
      </c>
      <c r="E36" s="31">
        <v>41831</v>
      </c>
      <c r="F36" s="31">
        <v>16227</v>
      </c>
      <c r="G36" s="31">
        <v>8545</v>
      </c>
      <c r="H36" s="31">
        <v>5772</v>
      </c>
      <c r="I36" s="31">
        <v>3531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1">
        <f>M70*$P$2</f>
        <v>0</v>
      </c>
      <c r="Q36" s="31">
        <f t="shared" si="5"/>
        <v>0</v>
      </c>
      <c r="R36" s="31">
        <f t="shared" si="6"/>
        <v>0</v>
      </c>
      <c r="S36" s="31">
        <f t="shared" si="11"/>
        <v>0</v>
      </c>
      <c r="T36" t="s">
        <v>83</v>
      </c>
      <c r="U36" s="6"/>
      <c r="V36" s="6"/>
      <c r="W36" s="6"/>
      <c r="X36" s="6"/>
      <c r="Y36" s="6"/>
      <c r="Z36" s="6"/>
      <c r="AA36" s="6"/>
      <c r="AB36" s="6"/>
      <c r="AC36" s="6"/>
      <c r="AG36" s="68"/>
      <c r="AH36" s="68"/>
      <c r="AI36" s="68"/>
      <c r="AJ36" s="68"/>
      <c r="AK36" s="68"/>
      <c r="AL36" s="68"/>
    </row>
    <row r="37" spans="1:38" x14ac:dyDescent="0.25">
      <c r="A37" s="11" t="s">
        <v>44</v>
      </c>
      <c r="B37" s="12"/>
      <c r="C37" s="14">
        <v>1519530</v>
      </c>
      <c r="D37" s="14">
        <v>1047462</v>
      </c>
      <c r="E37" s="14">
        <v>827687</v>
      </c>
      <c r="F37" s="14">
        <v>931565</v>
      </c>
      <c r="G37" s="14">
        <v>1407266</v>
      </c>
      <c r="H37" s="14">
        <v>1744994</v>
      </c>
      <c r="I37" s="14">
        <v>2237883</v>
      </c>
      <c r="J37" s="14">
        <v>2757229</v>
      </c>
      <c r="K37" s="14">
        <v>3299544</v>
      </c>
      <c r="L37" s="14">
        <v>4099086</v>
      </c>
      <c r="M37" s="46">
        <v>4714654</v>
      </c>
      <c r="N37" s="46">
        <f t="shared" ref="N37:S37" si="45">N18-N28</f>
        <v>4761800.5399999991</v>
      </c>
      <c r="O37" s="46">
        <f t="shared" si="45"/>
        <v>4809418.5453999974</v>
      </c>
      <c r="P37" s="46">
        <f t="shared" si="45"/>
        <v>4857512.7308540009</v>
      </c>
      <c r="Q37" s="46">
        <f t="shared" si="45"/>
        <v>4906087.8581625409</v>
      </c>
      <c r="R37" s="46">
        <f t="shared" si="45"/>
        <v>4955148.7367441654</v>
      </c>
      <c r="S37" s="46">
        <f t="shared" si="45"/>
        <v>4979924.4804278873</v>
      </c>
      <c r="T37" t="s">
        <v>72</v>
      </c>
      <c r="V37" s="17">
        <f t="shared" ref="V37:AL37" si="46">V17</f>
        <v>7421768</v>
      </c>
      <c r="W37" s="17">
        <f t="shared" si="46"/>
        <v>7386626</v>
      </c>
      <c r="X37" s="17">
        <f t="shared" si="46"/>
        <v>7440181</v>
      </c>
      <c r="Y37" s="17">
        <f t="shared" si="46"/>
        <v>7515426</v>
      </c>
      <c r="Z37" s="17">
        <f t="shared" si="46"/>
        <v>7791069</v>
      </c>
      <c r="AA37" s="17">
        <f t="shared" si="46"/>
        <v>7986252</v>
      </c>
      <c r="AB37" s="17">
        <f t="shared" si="46"/>
        <v>8149719</v>
      </c>
      <c r="AC37" s="17">
        <f t="shared" si="46"/>
        <v>8971337</v>
      </c>
      <c r="AD37" s="17">
        <f t="shared" si="46"/>
        <v>10419294</v>
      </c>
      <c r="AE37" s="17">
        <f t="shared" si="46"/>
        <v>11164992</v>
      </c>
      <c r="AF37" s="17">
        <f>AF17</f>
        <v>11202263</v>
      </c>
      <c r="AG37" s="72">
        <f t="shared" si="46"/>
        <v>11314285.630000001</v>
      </c>
      <c r="AH37" s="72">
        <f t="shared" si="46"/>
        <v>11427428.486300001</v>
      </c>
      <c r="AI37" s="72">
        <f t="shared" si="46"/>
        <v>11541702.771163002</v>
      </c>
      <c r="AJ37" s="72">
        <f t="shared" si="46"/>
        <v>11657119.798874632</v>
      </c>
      <c r="AK37" s="72">
        <f t="shared" si="46"/>
        <v>11773690.996863378</v>
      </c>
      <c r="AL37" s="72">
        <f t="shared" si="46"/>
        <v>11832559.451847693</v>
      </c>
    </row>
    <row r="38" spans="1:38" x14ac:dyDescent="0.25">
      <c r="T38" t="s">
        <v>63</v>
      </c>
      <c r="V38" s="16">
        <f>IS!C36</f>
        <v>901207.8</v>
      </c>
      <c r="W38" s="16">
        <f>IS!D36</f>
        <v>611842.44999999995</v>
      </c>
      <c r="X38" s="16">
        <f>IS!E36</f>
        <v>794795.95</v>
      </c>
      <c r="Y38" s="16">
        <f>IS!F36</f>
        <v>886111.3</v>
      </c>
      <c r="Z38" s="16">
        <f>IS!G36</f>
        <v>1355498.23</v>
      </c>
      <c r="AA38" s="16">
        <f>IS!H36</f>
        <v>1331653.75</v>
      </c>
      <c r="AB38" s="16">
        <f>IS!I36</f>
        <v>1531745.46</v>
      </c>
      <c r="AC38" s="16">
        <f>IS!J36</f>
        <v>1702559.43</v>
      </c>
      <c r="AD38" s="16">
        <f>IS!K36</f>
        <v>1959646.03</v>
      </c>
      <c r="AE38" s="16">
        <f>IS!L36</f>
        <v>2218915.15</v>
      </c>
      <c r="AF38" s="16">
        <f>SAISLower!M36</f>
        <v>2610747.4500000002</v>
      </c>
      <c r="AG38" s="16">
        <f>SAISLower!N36</f>
        <v>2636854.9244999997</v>
      </c>
      <c r="AH38" s="16">
        <f>SAISLower!O36</f>
        <v>2663223.4737449996</v>
      </c>
      <c r="AI38" s="16">
        <f>SAISLower!P36</f>
        <v>2689855.7084824494</v>
      </c>
      <c r="AJ38" s="16">
        <f>SAISLower!Q36</f>
        <v>2716754.2655672743</v>
      </c>
      <c r="AK38" s="16">
        <f>SAISLower!R36</f>
        <v>2743921.8082229476</v>
      </c>
      <c r="AL38" s="16">
        <f>SAISLower!S36</f>
        <v>2757641.4172640615</v>
      </c>
    </row>
    <row r="39" spans="1:38" x14ac:dyDescent="0.25">
      <c r="A39" s="2"/>
      <c r="T39" t="s">
        <v>73</v>
      </c>
      <c r="V39" s="16"/>
      <c r="W39" s="16">
        <f t="shared" ref="W39:AJ39" si="47">W19</f>
        <v>1283496</v>
      </c>
      <c r="X39" s="16">
        <f t="shared" si="47"/>
        <v>937574.5</v>
      </c>
      <c r="Y39" s="16">
        <f t="shared" si="47"/>
        <v>879626</v>
      </c>
      <c r="Z39" s="16">
        <f t="shared" si="47"/>
        <v>1169415.5</v>
      </c>
      <c r="AA39" s="16">
        <f t="shared" si="47"/>
        <v>1576130</v>
      </c>
      <c r="AB39" s="16">
        <f t="shared" si="47"/>
        <v>1991438.5</v>
      </c>
      <c r="AC39" s="16">
        <f t="shared" si="47"/>
        <v>2497556</v>
      </c>
      <c r="AD39" s="16">
        <f t="shared" si="47"/>
        <v>3028386.5</v>
      </c>
      <c r="AE39" s="16">
        <f t="shared" si="47"/>
        <v>3699315</v>
      </c>
      <c r="AF39" s="16">
        <f t="shared" si="47"/>
        <v>4406870</v>
      </c>
      <c r="AG39" s="70">
        <f t="shared" si="47"/>
        <v>4738227.2699999996</v>
      </c>
      <c r="AH39" s="70">
        <f t="shared" si="47"/>
        <v>4785609.5426999982</v>
      </c>
      <c r="AI39" s="70">
        <f t="shared" si="47"/>
        <v>4833465.6381269991</v>
      </c>
      <c r="AJ39" s="70">
        <f t="shared" si="47"/>
        <v>4881800.2945082709</v>
      </c>
      <c r="AK39" s="70">
        <f>AK19</f>
        <v>4930618.2974533532</v>
      </c>
      <c r="AL39" s="70">
        <f>AL19</f>
        <v>4967536.6085860264</v>
      </c>
    </row>
    <row r="40" spans="1:38" x14ac:dyDescent="0.25">
      <c r="A40" s="3"/>
      <c r="C40" s="4"/>
      <c r="D40" s="4"/>
      <c r="E40" s="4"/>
      <c r="F40" s="4"/>
      <c r="G40" s="4"/>
      <c r="H40" s="4"/>
      <c r="I40" s="4"/>
      <c r="J40" s="4"/>
      <c r="K40" s="4"/>
      <c r="L40" s="4"/>
      <c r="T40" s="16" t="s">
        <v>74</v>
      </c>
      <c r="U40" s="16"/>
      <c r="V40" s="16">
        <f>IS!C20</f>
        <v>846912</v>
      </c>
      <c r="W40" s="16">
        <f>IS!D20</f>
        <v>512951</v>
      </c>
      <c r="X40" s="16">
        <f>IS!E20</f>
        <v>720044</v>
      </c>
      <c r="Y40" s="16">
        <f>IS!F20</f>
        <v>782981</v>
      </c>
      <c r="Z40" s="16">
        <f>IS!G20</f>
        <v>1177562</v>
      </c>
      <c r="AA40" s="16">
        <f>IS!H20</f>
        <v>1149692</v>
      </c>
      <c r="AB40" s="16">
        <f>IS!I20</f>
        <v>1278708</v>
      </c>
      <c r="AC40" s="16">
        <f>IS!J20</f>
        <v>1477512</v>
      </c>
      <c r="AD40" s="16">
        <f>IS!K20</f>
        <v>1644817</v>
      </c>
      <c r="AE40" s="16">
        <f>IS!L20</f>
        <v>1861787</v>
      </c>
      <c r="AF40" s="16">
        <f>SAISLower!M20</f>
        <v>2221239</v>
      </c>
      <c r="AG40" s="16">
        <f>SAISLower!N20</f>
        <v>2243451.3899999997</v>
      </c>
      <c r="AH40" s="16">
        <f>SAISLower!O20</f>
        <v>2265885.9038999993</v>
      </c>
      <c r="AI40" s="16">
        <f>SAISLower!P20</f>
        <v>2288544.7629389991</v>
      </c>
      <c r="AJ40" s="16">
        <f>SAISLower!Q20</f>
        <v>2311430.2105683899</v>
      </c>
      <c r="AK40" s="16">
        <f>SAISLower!R20</f>
        <v>2334544.5126740737</v>
      </c>
      <c r="AL40" s="16">
        <f>SAISLower!S20</f>
        <v>2346217.2352374443</v>
      </c>
    </row>
    <row r="41" spans="1:38" x14ac:dyDescent="0.25">
      <c r="A41" s="3"/>
      <c r="C41" s="4"/>
      <c r="D41" s="4"/>
      <c r="E41" s="4"/>
      <c r="F41" s="4"/>
      <c r="G41" s="4"/>
      <c r="H41" s="4"/>
      <c r="I41" s="4"/>
      <c r="J41" s="4"/>
      <c r="K41" s="107" t="s">
        <v>87</v>
      </c>
      <c r="L41" s="107"/>
      <c r="M41" s="107"/>
      <c r="AG41" s="68"/>
      <c r="AH41" s="68"/>
      <c r="AI41" s="68"/>
      <c r="AJ41" s="68"/>
      <c r="AK41" s="68"/>
      <c r="AL41" s="68"/>
    </row>
    <row r="42" spans="1:38" x14ac:dyDescent="0.25">
      <c r="A42" s="3"/>
      <c r="C42" s="4"/>
      <c r="D42" s="4"/>
      <c r="E42" s="4"/>
      <c r="F42" s="4"/>
      <c r="G42" s="4"/>
      <c r="H42" s="4"/>
      <c r="I42" s="4"/>
      <c r="J42" s="4"/>
      <c r="K42" s="86" t="s">
        <v>16</v>
      </c>
      <c r="L42" s="86"/>
      <c r="M42" s="77">
        <f>M8/$M$2</f>
        <v>6.5231998213218165E-2</v>
      </c>
      <c r="Z42" s="34"/>
      <c r="AG42" s="68"/>
      <c r="AH42" s="68"/>
      <c r="AI42" s="68"/>
      <c r="AJ42" s="68"/>
      <c r="AK42" s="68"/>
      <c r="AL42" s="68"/>
    </row>
    <row r="43" spans="1:38" x14ac:dyDescent="0.25">
      <c r="A43" s="3"/>
      <c r="C43" s="4"/>
      <c r="D43" s="4"/>
      <c r="E43" s="4"/>
      <c r="F43" s="4"/>
      <c r="G43" s="4"/>
      <c r="H43" s="4"/>
      <c r="I43" s="4"/>
      <c r="J43" s="4"/>
      <c r="K43" s="86" t="s">
        <v>17</v>
      </c>
      <c r="L43" s="86"/>
      <c r="M43" s="77">
        <f>M9/$M$2</f>
        <v>7.145002755246864E-2</v>
      </c>
      <c r="O43" s="62"/>
      <c r="T43" t="s">
        <v>75</v>
      </c>
      <c r="V43" s="34"/>
      <c r="W43" s="34">
        <f t="shared" ref="W43:AE43" si="48">W40/W39</f>
        <v>0.39965142080692112</v>
      </c>
      <c r="X43" s="34">
        <f t="shared" si="48"/>
        <v>0.76798590405349121</v>
      </c>
      <c r="Y43" s="34">
        <f t="shared" si="48"/>
        <v>0.8901294413762213</v>
      </c>
      <c r="Z43" s="34">
        <f t="shared" si="48"/>
        <v>1.006966300686112</v>
      </c>
      <c r="AA43" s="34">
        <f t="shared" si="48"/>
        <v>0.72943983047083683</v>
      </c>
      <c r="AB43" s="34">
        <f t="shared" si="48"/>
        <v>0.64210268105191293</v>
      </c>
      <c r="AC43" s="34">
        <f t="shared" si="48"/>
        <v>0.59158313166952015</v>
      </c>
      <c r="AD43" s="34">
        <f t="shared" si="48"/>
        <v>0.54313311725567393</v>
      </c>
      <c r="AE43" s="34">
        <f t="shared" si="48"/>
        <v>0.50327885027363173</v>
      </c>
      <c r="AF43" s="34">
        <f>AF40/AF39</f>
        <v>0.50404005564039789</v>
      </c>
      <c r="AG43" s="77">
        <f t="shared" ref="AG43:AL43" si="49">AG40/AG39</f>
        <v>0.47347905918409017</v>
      </c>
      <c r="AH43" s="77">
        <f t="shared" si="49"/>
        <v>0.47347905918409022</v>
      </c>
      <c r="AI43" s="77">
        <f t="shared" si="49"/>
        <v>0.47347905918409006</v>
      </c>
      <c r="AJ43" s="77">
        <f t="shared" si="49"/>
        <v>0.47347905918409006</v>
      </c>
      <c r="AK43" s="77">
        <f t="shared" si="49"/>
        <v>0.47347905918409006</v>
      </c>
      <c r="AL43" s="77">
        <f t="shared" si="49"/>
        <v>0.47231000395290057</v>
      </c>
    </row>
    <row r="44" spans="1:38" x14ac:dyDescent="0.25">
      <c r="A44" s="3"/>
      <c r="C44" s="4"/>
      <c r="D44" s="4"/>
      <c r="E44" s="4"/>
      <c r="F44" s="4"/>
      <c r="G44" s="4"/>
      <c r="H44" s="4"/>
      <c r="I44" s="4"/>
      <c r="J44" s="4"/>
      <c r="K44" s="86" t="s">
        <v>18</v>
      </c>
      <c r="L44" s="86"/>
      <c r="M44" s="77">
        <f>M10/$M$2</f>
        <v>0.11195005866225423</v>
      </c>
      <c r="T44" s="69" t="s">
        <v>63</v>
      </c>
      <c r="V44" s="35">
        <f t="shared" ref="V44:AE44" si="50">V38</f>
        <v>901207.8</v>
      </c>
      <c r="W44" s="35">
        <f t="shared" si="50"/>
        <v>611842.44999999995</v>
      </c>
      <c r="X44" s="35">
        <f t="shared" si="50"/>
        <v>794795.95</v>
      </c>
      <c r="Y44" s="35">
        <f t="shared" si="50"/>
        <v>886111.3</v>
      </c>
      <c r="Z44" s="35">
        <f t="shared" si="50"/>
        <v>1355498.23</v>
      </c>
      <c r="AA44" s="35">
        <f t="shared" si="50"/>
        <v>1331653.75</v>
      </c>
      <c r="AB44" s="35">
        <f t="shared" si="50"/>
        <v>1531745.46</v>
      </c>
      <c r="AC44" s="35">
        <f t="shared" si="50"/>
        <v>1702559.43</v>
      </c>
      <c r="AD44" s="35">
        <f t="shared" si="50"/>
        <v>1959646.03</v>
      </c>
      <c r="AE44" s="35">
        <f t="shared" si="50"/>
        <v>2218915.15</v>
      </c>
      <c r="AF44" s="35">
        <f>AF38</f>
        <v>2610747.4500000002</v>
      </c>
      <c r="AG44" s="78">
        <f t="shared" ref="AG44:AL44" si="51">AG38</f>
        <v>2636854.9244999997</v>
      </c>
      <c r="AH44" s="78">
        <f t="shared" si="51"/>
        <v>2663223.4737449996</v>
      </c>
      <c r="AI44" s="78">
        <f t="shared" si="51"/>
        <v>2689855.7084824494</v>
      </c>
      <c r="AJ44" s="78">
        <f t="shared" si="51"/>
        <v>2716754.2655672743</v>
      </c>
      <c r="AK44" s="78">
        <f t="shared" si="51"/>
        <v>2743921.8082229476</v>
      </c>
      <c r="AL44" s="78">
        <f t="shared" si="51"/>
        <v>2757641.4172640615</v>
      </c>
    </row>
    <row r="45" spans="1:38" x14ac:dyDescent="0.25">
      <c r="A45" s="5"/>
      <c r="C45" s="6"/>
      <c r="D45" s="59"/>
      <c r="E45" s="6"/>
      <c r="F45" s="6"/>
      <c r="G45" s="6"/>
      <c r="H45" s="6"/>
      <c r="I45" s="6"/>
      <c r="J45" s="6"/>
      <c r="K45" s="86" t="s">
        <v>20</v>
      </c>
      <c r="L45" s="86"/>
      <c r="M45" s="77">
        <f t="shared" ref="M45:M70" si="52">M11/$M$2</f>
        <v>8.6965910370074326E-2</v>
      </c>
      <c r="T45" s="69" t="s">
        <v>66</v>
      </c>
      <c r="V45" s="16">
        <f t="shared" ref="V45:AL45" si="53">V9</f>
        <v>3131494</v>
      </c>
      <c r="W45" s="16">
        <f t="shared" si="53"/>
        <v>3121460</v>
      </c>
      <c r="X45" s="16">
        <f t="shared" si="53"/>
        <v>3510889</v>
      </c>
      <c r="Y45" s="16">
        <f t="shared" si="53"/>
        <v>3471866</v>
      </c>
      <c r="Z45" s="16">
        <f t="shared" si="53"/>
        <v>5276864</v>
      </c>
      <c r="AA45" s="16">
        <f t="shared" si="53"/>
        <v>5518217</v>
      </c>
      <c r="AB45" s="16">
        <f t="shared" si="53"/>
        <v>5696521</v>
      </c>
      <c r="AC45" s="16">
        <f t="shared" si="53"/>
        <v>7456857</v>
      </c>
      <c r="AD45" s="16">
        <f t="shared" si="53"/>
        <v>7627000</v>
      </c>
      <c r="AE45" s="16">
        <f t="shared" si="53"/>
        <v>8511213</v>
      </c>
      <c r="AF45" s="16">
        <f t="shared" si="53"/>
        <v>9086059</v>
      </c>
      <c r="AG45" s="70">
        <f t="shared" si="53"/>
        <v>9176919.5900000017</v>
      </c>
      <c r="AH45" s="70">
        <f t="shared" si="53"/>
        <v>9268688.7858999986</v>
      </c>
      <c r="AI45" s="70">
        <f t="shared" si="53"/>
        <v>9361375.6737590004</v>
      </c>
      <c r="AJ45" s="70">
        <f t="shared" si="53"/>
        <v>9454989.4304965921</v>
      </c>
      <c r="AK45" s="70">
        <f t="shared" si="53"/>
        <v>9549539.3248015568</v>
      </c>
      <c r="AL45" s="70">
        <f t="shared" si="53"/>
        <v>9597287.0214255638</v>
      </c>
    </row>
    <row r="46" spans="1:38" x14ac:dyDescent="0.25">
      <c r="A46" s="5"/>
      <c r="C46" s="7"/>
      <c r="D46" s="7"/>
      <c r="E46" s="7"/>
      <c r="F46" s="7"/>
      <c r="G46" s="7"/>
      <c r="H46" s="7"/>
      <c r="I46" s="7"/>
      <c r="J46" s="7"/>
      <c r="K46" s="87" t="s">
        <v>21</v>
      </c>
      <c r="L46" s="87"/>
      <c r="M46" s="77"/>
      <c r="T46" t="s">
        <v>70</v>
      </c>
      <c r="V46" s="16">
        <f t="shared" ref="V46:AL46" si="54">V14</f>
        <v>1712479</v>
      </c>
      <c r="W46" s="16">
        <f t="shared" si="54"/>
        <v>2073998</v>
      </c>
      <c r="X46" s="16">
        <f t="shared" si="54"/>
        <v>2683202</v>
      </c>
      <c r="Y46" s="16">
        <f t="shared" si="54"/>
        <v>2540301</v>
      </c>
      <c r="Z46" s="16">
        <f t="shared" si="54"/>
        <v>3869598</v>
      </c>
      <c r="AA46" s="16">
        <f t="shared" si="54"/>
        <v>3773223</v>
      </c>
      <c r="AB46" s="16">
        <f t="shared" si="54"/>
        <v>3458638</v>
      </c>
      <c r="AC46" s="16">
        <f t="shared" si="54"/>
        <v>4699628</v>
      </c>
      <c r="AD46" s="16">
        <f t="shared" si="54"/>
        <v>4327456</v>
      </c>
      <c r="AE46" s="16">
        <f t="shared" si="54"/>
        <v>4412127</v>
      </c>
      <c r="AF46" s="16">
        <f t="shared" si="54"/>
        <v>4371405</v>
      </c>
      <c r="AG46" s="70">
        <f t="shared" si="54"/>
        <v>4415119.05</v>
      </c>
      <c r="AH46" s="70">
        <f t="shared" si="54"/>
        <v>4459270.2405000012</v>
      </c>
      <c r="AI46" s="70">
        <f t="shared" si="54"/>
        <v>4503862.9429050013</v>
      </c>
      <c r="AJ46" s="70">
        <f t="shared" si="54"/>
        <v>4548901.5723340511</v>
      </c>
      <c r="AK46" s="70">
        <f t="shared" si="54"/>
        <v>4594390.5880573913</v>
      </c>
      <c r="AL46" s="70">
        <f t="shared" si="54"/>
        <v>4617362.5409976775</v>
      </c>
    </row>
    <row r="47" spans="1:38" x14ac:dyDescent="0.25">
      <c r="A47" s="5"/>
      <c r="C47" s="6"/>
      <c r="D47" s="6"/>
      <c r="E47" s="6"/>
      <c r="F47" s="6"/>
      <c r="G47" s="6"/>
      <c r="H47" s="6"/>
      <c r="I47" s="6"/>
      <c r="J47" s="6"/>
      <c r="K47" s="86" t="s">
        <v>22</v>
      </c>
      <c r="L47" s="86"/>
      <c r="M47" s="77">
        <f t="shared" si="52"/>
        <v>0.30876377389104326</v>
      </c>
      <c r="T47" t="s">
        <v>76</v>
      </c>
      <c r="V47" s="34"/>
      <c r="W47" s="34">
        <f t="shared" ref="W47:AD47" si="55">W44/W10</f>
        <v>0.19569708972751118</v>
      </c>
      <c r="X47" s="34">
        <f t="shared" si="55"/>
        <v>0.23967253532647331</v>
      </c>
      <c r="Y47" s="34">
        <f t="shared" si="55"/>
        <v>0.25379991135304047</v>
      </c>
      <c r="Z47" s="34">
        <f t="shared" si="55"/>
        <v>0.3098731427304306</v>
      </c>
      <c r="AA47" s="34">
        <f t="shared" si="55"/>
        <v>0.24671491580285501</v>
      </c>
      <c r="AB47" s="34">
        <f t="shared" si="55"/>
        <v>0.2731665171312963</v>
      </c>
      <c r="AC47" s="34">
        <f t="shared" si="55"/>
        <v>0.25887789889410917</v>
      </c>
      <c r="AD47" s="34">
        <f t="shared" si="55"/>
        <v>0.25983354655245006</v>
      </c>
      <c r="AE47" s="34">
        <f>AE44/AE10</f>
        <v>0.27498895323788325</v>
      </c>
      <c r="AF47" s="34">
        <f>AF44/AF10</f>
        <v>0.29672183847587286</v>
      </c>
      <c r="AG47" s="77">
        <f t="shared" ref="AG47:AL47" si="56">AG44/AG10</f>
        <v>0.28876504580077911</v>
      </c>
      <c r="AH47" s="77">
        <f t="shared" si="56"/>
        <v>0.28876504580077916</v>
      </c>
      <c r="AI47" s="77">
        <f t="shared" si="56"/>
        <v>0.28876504580077916</v>
      </c>
      <c r="AJ47" s="77">
        <f t="shared" si="56"/>
        <v>0.28876504580077911</v>
      </c>
      <c r="AK47" s="77">
        <f t="shared" si="56"/>
        <v>0.28876504580077922</v>
      </c>
      <c r="AL47" s="77">
        <f t="shared" si="56"/>
        <v>0.28805206329219718</v>
      </c>
    </row>
    <row r="48" spans="1:38" x14ac:dyDescent="0.25">
      <c r="A48" s="5"/>
      <c r="C48" s="7"/>
      <c r="D48" s="7"/>
      <c r="E48" s="6"/>
      <c r="F48" s="6"/>
      <c r="G48" s="6"/>
      <c r="H48" s="6"/>
      <c r="I48" s="6"/>
      <c r="J48" s="6"/>
      <c r="K48" s="86" t="s">
        <v>23</v>
      </c>
      <c r="L48" s="86"/>
      <c r="M48" s="77">
        <f t="shared" si="52"/>
        <v>0.24153628601649507</v>
      </c>
      <c r="T48" s="69" t="s">
        <v>77</v>
      </c>
      <c r="V48" s="34">
        <f t="shared" ref="V48:AE48" si="57">V44/V37</f>
        <v>0.12142764365579739</v>
      </c>
      <c r="W48" s="34">
        <f t="shared" si="57"/>
        <v>8.2831112608110921E-2</v>
      </c>
      <c r="X48" s="34">
        <f t="shared" si="57"/>
        <v>0.10682481380493297</v>
      </c>
      <c r="Y48" s="34">
        <f t="shared" si="57"/>
        <v>0.11790566496164023</v>
      </c>
      <c r="Z48" s="34">
        <f t="shared" si="57"/>
        <v>0.1739810326413487</v>
      </c>
      <c r="AA48" s="34">
        <f t="shared" si="57"/>
        <v>0.16674326705443304</v>
      </c>
      <c r="AB48" s="34">
        <f t="shared" si="57"/>
        <v>0.1879507084845502</v>
      </c>
      <c r="AC48" s="34">
        <f t="shared" si="57"/>
        <v>0.18977766970519555</v>
      </c>
      <c r="AD48" s="34">
        <f t="shared" si="57"/>
        <v>0.18807858094799898</v>
      </c>
      <c r="AE48" s="34">
        <f t="shared" si="57"/>
        <v>0.19873862426412844</v>
      </c>
      <c r="AF48" s="34">
        <f>AF44/AF37</f>
        <v>0.23305536122478113</v>
      </c>
      <c r="AG48" s="77">
        <f>AG44/AG37</f>
        <v>0.23305536122478107</v>
      </c>
      <c r="AH48" s="77">
        <f t="shared" ref="AH48:AL48" si="58">AH44/AH37</f>
        <v>0.23305536122478104</v>
      </c>
      <c r="AI48" s="77">
        <f t="shared" si="58"/>
        <v>0.23305536122478102</v>
      </c>
      <c r="AJ48" s="77">
        <f t="shared" si="58"/>
        <v>0.23305536122478104</v>
      </c>
      <c r="AK48" s="77">
        <f t="shared" si="58"/>
        <v>0.2330553612247811</v>
      </c>
      <c r="AL48" s="77">
        <f t="shared" si="58"/>
        <v>0.23305536122478107</v>
      </c>
    </row>
    <row r="49" spans="1:38" x14ac:dyDescent="0.25">
      <c r="A49" s="5"/>
      <c r="C49" s="6"/>
      <c r="D49" s="6"/>
      <c r="E49" s="6"/>
      <c r="F49" s="6"/>
      <c r="G49" s="6"/>
      <c r="H49" s="6"/>
      <c r="I49" s="6"/>
      <c r="J49" s="6"/>
      <c r="K49" s="86" t="s">
        <v>24</v>
      </c>
      <c r="L49" s="86"/>
      <c r="M49" s="77">
        <f t="shared" si="52"/>
        <v>0.16727566564005861</v>
      </c>
      <c r="T49" s="69" t="s">
        <v>78</v>
      </c>
      <c r="U49" s="16"/>
      <c r="W49" s="24">
        <f t="shared" ref="W49:AL49" si="59">W37/W10</f>
        <v>2.3626036590066071</v>
      </c>
      <c r="X49" s="24">
        <f t="shared" si="59"/>
        <v>2.2436035859994701</v>
      </c>
      <c r="Y49" s="24">
        <f t="shared" si="59"/>
        <v>2.1525675754054094</v>
      </c>
      <c r="Z49" s="24">
        <f t="shared" si="59"/>
        <v>1.781074281638592</v>
      </c>
      <c r="AA49" s="24">
        <f t="shared" si="59"/>
        <v>1.4796094628655403</v>
      </c>
      <c r="AB49" s="24">
        <f t="shared" si="59"/>
        <v>1.4533944529065235</v>
      </c>
      <c r="AC49" s="24">
        <f t="shared" si="59"/>
        <v>1.3641114852777743</v>
      </c>
      <c r="AD49" s="24">
        <f t="shared" si="59"/>
        <v>1.3815158815149202</v>
      </c>
      <c r="AE49" s="24">
        <f t="shared" si="59"/>
        <v>1.383671413929163</v>
      </c>
      <c r="AF49" s="24">
        <f>AF37/AF10</f>
        <v>1.2731817749933059</v>
      </c>
      <c r="AG49" s="75">
        <f t="shared" si="59"/>
        <v>1.2390405622218932</v>
      </c>
      <c r="AH49" s="75">
        <f t="shared" si="59"/>
        <v>1.2390405622218934</v>
      </c>
      <c r="AI49" s="75">
        <f t="shared" si="59"/>
        <v>1.2390405622218936</v>
      </c>
      <c r="AJ49" s="75">
        <f t="shared" si="59"/>
        <v>1.2390405622218932</v>
      </c>
      <c r="AK49" s="75">
        <f t="shared" si="59"/>
        <v>1.2390405622218934</v>
      </c>
      <c r="AL49" s="75">
        <f t="shared" si="59"/>
        <v>1.2359812783468731</v>
      </c>
    </row>
    <row r="50" spans="1:38" x14ac:dyDescent="0.25">
      <c r="A50" s="5"/>
      <c r="C50" s="7"/>
      <c r="D50" s="7"/>
      <c r="E50" s="7"/>
      <c r="F50" s="6"/>
      <c r="G50" s="55"/>
      <c r="H50" s="7"/>
      <c r="I50" s="7"/>
      <c r="J50" s="7"/>
      <c r="K50" s="86" t="s">
        <v>25</v>
      </c>
      <c r="L50" s="86"/>
      <c r="M50" s="77">
        <f t="shared" si="52"/>
        <v>9.9253784704037035E-2</v>
      </c>
      <c r="T50" t="s">
        <v>79</v>
      </c>
      <c r="V50" s="36"/>
      <c r="W50" s="36">
        <f t="shared" ref="W50:AL50" si="60">W15/W19</f>
        <v>1.4750638100936817</v>
      </c>
      <c r="X50" s="36">
        <f t="shared" si="60"/>
        <v>2.53697172864663</v>
      </c>
      <c r="Y50" s="36">
        <f t="shared" si="60"/>
        <v>2.969161325381469</v>
      </c>
      <c r="Z50" s="36">
        <f t="shared" si="60"/>
        <v>2.7406422268218611</v>
      </c>
      <c r="AA50" s="36">
        <f t="shared" si="60"/>
        <v>2.4245528604873963</v>
      </c>
      <c r="AB50" s="36">
        <f t="shared" si="60"/>
        <v>1.815737970316432</v>
      </c>
      <c r="AC50" s="36">
        <f t="shared" si="60"/>
        <v>1.6332498650680907</v>
      </c>
      <c r="AD50" s="36">
        <f t="shared" si="60"/>
        <v>1.4904114781914395</v>
      </c>
      <c r="AE50" s="36">
        <f t="shared" si="60"/>
        <v>1.181243419389806</v>
      </c>
      <c r="AF50" s="36">
        <f t="shared" si="60"/>
        <v>0.99657262410735969</v>
      </c>
      <c r="AG50" s="79">
        <f t="shared" si="60"/>
        <v>0.92719529365251419</v>
      </c>
      <c r="AH50" s="79">
        <f t="shared" si="60"/>
        <v>0.92719529365251441</v>
      </c>
      <c r="AI50" s="79">
        <f t="shared" si="60"/>
        <v>0.92719529365251452</v>
      </c>
      <c r="AJ50" s="79">
        <f t="shared" si="60"/>
        <v>0.92719529365251419</v>
      </c>
      <c r="AK50" s="79">
        <f t="shared" si="60"/>
        <v>0.92719529365251419</v>
      </c>
      <c r="AL50" s="79">
        <f t="shared" si="60"/>
        <v>0.92719529365251396</v>
      </c>
    </row>
    <row r="51" spans="1:38" x14ac:dyDescent="0.25">
      <c r="A51" s="5"/>
      <c r="C51" s="7"/>
      <c r="D51" s="6"/>
      <c r="E51" s="6"/>
      <c r="F51" s="7"/>
      <c r="G51" s="55"/>
      <c r="H51" s="7"/>
      <c r="I51" s="56"/>
      <c r="J51" s="7"/>
      <c r="K51" s="86" t="s">
        <v>19</v>
      </c>
      <c r="L51" s="86"/>
      <c r="M51" s="77">
        <f t="shared" si="52"/>
        <v>3.3087064640421313E-3</v>
      </c>
      <c r="T51" t="s">
        <v>80</v>
      </c>
      <c r="V51" s="34"/>
      <c r="W51" s="34">
        <f t="shared" ref="W51:AD51" si="61">W47-((W38-W40)/W15)</f>
        <v>0.14346307378076176</v>
      </c>
      <c r="X51" s="34">
        <f t="shared" si="61"/>
        <v>0.20824566658015198</v>
      </c>
      <c r="Y51" s="34">
        <f t="shared" si="61"/>
        <v>0.21431288511796412</v>
      </c>
      <c r="Z51" s="34">
        <f t="shared" si="61"/>
        <v>0.25435394344195505</v>
      </c>
      <c r="AA51" s="34">
        <f t="shared" si="61"/>
        <v>0.19909853174780517</v>
      </c>
      <c r="AB51" s="34">
        <f t="shared" si="61"/>
        <v>0.20318799846231195</v>
      </c>
      <c r="AC51" s="34">
        <f t="shared" si="61"/>
        <v>0.20370749135897856</v>
      </c>
      <c r="AD51" s="34">
        <f t="shared" si="61"/>
        <v>0.1900814472034244</v>
      </c>
      <c r="AE51" s="34">
        <f>AE47-((AE38-AE40)/AE15)</f>
        <v>0.19326236513865702</v>
      </c>
      <c r="AF51" s="34">
        <f>AF47-((AF38-AF40)/AF15)</f>
        <v>0.20803121834720475</v>
      </c>
      <c r="AG51" s="77">
        <f t="shared" ref="AG51:AL51" si="62">AG47-((AG38-AG40)/AG15)</f>
        <v>0.19921802305063935</v>
      </c>
      <c r="AH51" s="77">
        <f t="shared" si="62"/>
        <v>0.19921802305063935</v>
      </c>
      <c r="AI51" s="77">
        <f t="shared" si="62"/>
        <v>0.19921802305063938</v>
      </c>
      <c r="AJ51" s="77">
        <f t="shared" si="62"/>
        <v>0.1992180230506394</v>
      </c>
      <c r="AK51" s="77">
        <f t="shared" si="62"/>
        <v>0.19921802305063935</v>
      </c>
      <c r="AL51" s="77">
        <f t="shared" si="62"/>
        <v>0.19872613884271711</v>
      </c>
    </row>
    <row r="52" spans="1:38" x14ac:dyDescent="0.25">
      <c r="A52" s="5"/>
      <c r="C52" s="7"/>
      <c r="D52" s="7"/>
      <c r="E52" s="7"/>
      <c r="F52" s="7"/>
      <c r="G52" s="6"/>
      <c r="H52" s="6"/>
      <c r="I52" s="6"/>
      <c r="J52" s="7"/>
      <c r="K52" s="87" t="s">
        <v>26</v>
      </c>
      <c r="L52" s="87"/>
      <c r="M52" s="77"/>
      <c r="AG52" s="68"/>
      <c r="AH52" s="68"/>
      <c r="AI52" s="68"/>
      <c r="AJ52" s="68"/>
      <c r="AK52" s="68"/>
      <c r="AL52" s="68"/>
    </row>
    <row r="53" spans="1:38" x14ac:dyDescent="0.25">
      <c r="A53" s="5"/>
      <c r="C53" s="7"/>
      <c r="D53" s="6"/>
      <c r="E53" s="6"/>
      <c r="F53" s="6"/>
      <c r="G53" s="6"/>
      <c r="H53" s="6"/>
      <c r="I53" s="6"/>
      <c r="J53" s="6"/>
      <c r="K53" s="86" t="s">
        <v>27</v>
      </c>
      <c r="L53" s="86"/>
      <c r="M53" s="77">
        <f t="shared" si="52"/>
        <v>0.10347703852337693</v>
      </c>
      <c r="T53" t="s">
        <v>81</v>
      </c>
      <c r="V53" s="34"/>
      <c r="W53" s="34">
        <f t="shared" ref="W53:AE53" si="63">W47+(W50*W51)</f>
        <v>0.40731427794631259</v>
      </c>
      <c r="X53" s="34">
        <f t="shared" si="63"/>
        <v>0.76798590405349132</v>
      </c>
      <c r="Y53" s="34">
        <f t="shared" si="63"/>
        <v>0.8901294413762213</v>
      </c>
      <c r="Z53" s="34">
        <f t="shared" si="63"/>
        <v>1.006966300686112</v>
      </c>
      <c r="AA53" s="34">
        <f t="shared" si="63"/>
        <v>0.72943983047083671</v>
      </c>
      <c r="AB53" s="34">
        <f t="shared" si="63"/>
        <v>0.64210268105191293</v>
      </c>
      <c r="AC53" s="34">
        <f t="shared" si="63"/>
        <v>0.59158313166952015</v>
      </c>
      <c r="AD53" s="34">
        <f t="shared" si="63"/>
        <v>0.54313311725567393</v>
      </c>
      <c r="AE53" s="34">
        <f t="shared" si="63"/>
        <v>0.50327885027363173</v>
      </c>
      <c r="AF53" s="34">
        <f>AF47+(AF50*AF51)</f>
        <v>0.50404005564039778</v>
      </c>
      <c r="AG53" s="77">
        <f t="shared" ref="AG53:AL53" si="64">AG47+(AG50*AG51)</f>
        <v>0.47347905918409</v>
      </c>
      <c r="AH53" s="77">
        <f t="shared" si="64"/>
        <v>0.47347905918409006</v>
      </c>
      <c r="AI53" s="77">
        <f t="shared" si="64"/>
        <v>0.47347905918409017</v>
      </c>
      <c r="AJ53" s="77">
        <f t="shared" si="64"/>
        <v>0.47347905918409006</v>
      </c>
      <c r="AK53" s="77">
        <f t="shared" si="64"/>
        <v>0.47347905918409011</v>
      </c>
      <c r="AL53" s="77">
        <f t="shared" si="64"/>
        <v>0.47231000395290057</v>
      </c>
    </row>
    <row r="54" spans="1:38" x14ac:dyDescent="0.25">
      <c r="A54" s="5"/>
      <c r="C54" s="6"/>
      <c r="D54" s="7"/>
      <c r="E54" s="7"/>
      <c r="F54" s="7"/>
      <c r="G54" s="7"/>
      <c r="H54" s="7"/>
      <c r="I54" s="7"/>
      <c r="J54" s="7"/>
      <c r="K54" s="86" t="s">
        <v>28</v>
      </c>
      <c r="L54" s="86"/>
      <c r="M54" s="77">
        <f t="shared" si="52"/>
        <v>7.2069455966173979E-2</v>
      </c>
    </row>
    <row r="55" spans="1:38" x14ac:dyDescent="0.25">
      <c r="A55" s="5"/>
      <c r="C55" s="6"/>
      <c r="D55" s="6"/>
      <c r="E55" s="7"/>
      <c r="F55" s="7"/>
      <c r="G55" s="7"/>
      <c r="H55" s="7"/>
      <c r="I55" s="7"/>
      <c r="J55" s="7"/>
      <c r="K55" s="86" t="s">
        <v>29</v>
      </c>
      <c r="L55" s="86"/>
      <c r="M55" s="77">
        <f t="shared" si="52"/>
        <v>4.5558651854540463E-3</v>
      </c>
    </row>
    <row r="56" spans="1:38" x14ac:dyDescent="0.25">
      <c r="A56" s="5"/>
      <c r="C56" s="7"/>
      <c r="D56" s="7"/>
      <c r="E56" s="7"/>
      <c r="F56" s="7"/>
      <c r="G56" s="7"/>
      <c r="H56" s="7"/>
      <c r="I56" s="7"/>
      <c r="J56" s="7"/>
      <c r="K56" s="86" t="s">
        <v>30</v>
      </c>
      <c r="L56" s="86"/>
      <c r="M56" s="77">
        <f t="shared" si="52"/>
        <v>0.11667071198024899</v>
      </c>
    </row>
    <row r="57" spans="1:38" x14ac:dyDescent="0.25">
      <c r="A57" s="5"/>
      <c r="C57" s="6"/>
      <c r="D57" s="6"/>
      <c r="E57" s="6"/>
      <c r="F57" s="6"/>
      <c r="G57" s="6"/>
      <c r="H57" s="6"/>
      <c r="I57" s="6"/>
      <c r="J57" s="6"/>
      <c r="K57" s="86" t="s">
        <v>31</v>
      </c>
      <c r="L57" s="86"/>
      <c r="M57" s="77">
        <f t="shared" si="52"/>
        <v>5.400382047805876E-2</v>
      </c>
    </row>
    <row r="58" spans="1:38" x14ac:dyDescent="0.25">
      <c r="A58" s="5"/>
      <c r="C58" s="6"/>
      <c r="D58" s="7"/>
      <c r="E58" s="7"/>
      <c r="F58" s="7"/>
      <c r="G58" s="7"/>
      <c r="H58" s="7"/>
      <c r="I58" s="7"/>
      <c r="J58" s="7"/>
      <c r="K58" s="87" t="s">
        <v>32</v>
      </c>
      <c r="L58" s="87"/>
      <c r="M58" s="77"/>
    </row>
    <row r="59" spans="1:38" x14ac:dyDescent="0.25">
      <c r="A59" s="5"/>
      <c r="C59" s="6"/>
      <c r="D59" s="7"/>
      <c r="E59" s="7"/>
      <c r="F59" s="7"/>
      <c r="G59" s="7"/>
      <c r="H59" s="7"/>
      <c r="I59" s="7"/>
      <c r="J59" s="7"/>
      <c r="K59" s="86" t="s">
        <v>33</v>
      </c>
      <c r="L59" s="86"/>
      <c r="M59" s="77">
        <f t="shared" si="52"/>
        <v>0.28478263722249691</v>
      </c>
    </row>
    <row r="60" spans="1:38" x14ac:dyDescent="0.25">
      <c r="A60" s="5"/>
      <c r="C60" s="7"/>
      <c r="D60" s="6"/>
      <c r="E60" s="6"/>
      <c r="F60" s="6"/>
      <c r="G60" s="6"/>
      <c r="H60" s="6"/>
      <c r="I60" s="6"/>
      <c r="J60" s="6"/>
      <c r="K60" s="86" t="s">
        <v>34</v>
      </c>
      <c r="L60" s="86"/>
      <c r="M60" s="77">
        <f t="shared" si="52"/>
        <v>6.1439282402136065E-2</v>
      </c>
    </row>
    <row r="61" spans="1:38" x14ac:dyDescent="0.25">
      <c r="A61" s="5"/>
      <c r="C61" s="6"/>
      <c r="D61" s="6"/>
      <c r="E61" s="6"/>
      <c r="F61" s="6"/>
      <c r="G61" s="6"/>
      <c r="H61" s="6"/>
      <c r="I61" s="6"/>
      <c r="J61" s="6"/>
      <c r="K61" s="86" t="s">
        <v>19</v>
      </c>
      <c r="L61" s="86"/>
      <c r="M61" s="77">
        <f t="shared" si="52"/>
        <v>3.7871187277070714E-2</v>
      </c>
    </row>
    <row r="62" spans="1:38" x14ac:dyDescent="0.25">
      <c r="A62" s="5"/>
      <c r="C62" s="7"/>
      <c r="D62" s="6"/>
      <c r="E62" s="7"/>
      <c r="F62" s="7"/>
      <c r="G62" s="7"/>
      <c r="H62" s="7"/>
      <c r="I62" s="7"/>
      <c r="J62" s="7"/>
      <c r="K62" s="87" t="s">
        <v>35</v>
      </c>
      <c r="L62" s="87"/>
      <c r="M62" s="77"/>
    </row>
    <row r="63" spans="1:38" x14ac:dyDescent="0.25">
      <c r="A63" s="5"/>
      <c r="C63" s="6"/>
      <c r="D63" s="6"/>
      <c r="E63" s="6"/>
      <c r="F63" s="6"/>
      <c r="G63" s="6"/>
      <c r="H63" s="6"/>
      <c r="I63" s="6"/>
      <c r="J63" s="6"/>
      <c r="K63" s="86" t="s">
        <v>36</v>
      </c>
      <c r="L63" s="86"/>
      <c r="M63" s="77"/>
    </row>
    <row r="64" spans="1:38" x14ac:dyDescent="0.25">
      <c r="A64" s="5"/>
      <c r="C64" s="6"/>
      <c r="D64" s="6"/>
      <c r="E64" s="6"/>
      <c r="F64" s="6"/>
      <c r="G64" s="6"/>
      <c r="H64" s="6"/>
      <c r="I64" s="6"/>
      <c r="J64" s="6"/>
      <c r="K64" s="86" t="s">
        <v>37</v>
      </c>
      <c r="L64" s="86"/>
      <c r="M64" s="77"/>
    </row>
    <row r="65" spans="1:13" x14ac:dyDescent="0.25">
      <c r="A65" s="5"/>
      <c r="C65" s="6"/>
      <c r="D65" s="6"/>
      <c r="E65" s="6"/>
      <c r="F65" s="6"/>
      <c r="G65" s="6"/>
      <c r="H65" s="6"/>
      <c r="I65" s="6"/>
      <c r="J65" s="6"/>
      <c r="K65" s="86" t="s">
        <v>38</v>
      </c>
      <c r="L65" s="86"/>
      <c r="M65" s="77">
        <f t="shared" si="52"/>
        <v>0.12294176631989447</v>
      </c>
    </row>
    <row r="66" spans="1:13" x14ac:dyDescent="0.25">
      <c r="A66" s="5"/>
      <c r="C66" s="7"/>
      <c r="D66" s="6"/>
      <c r="E66" s="6"/>
      <c r="F66" s="6"/>
      <c r="G66" s="6"/>
      <c r="H66" s="6"/>
      <c r="I66" s="6"/>
      <c r="J66" s="6"/>
      <c r="K66" s="86" t="s">
        <v>39</v>
      </c>
      <c r="L66" s="86"/>
      <c r="M66" s="77">
        <f t="shared" si="52"/>
        <v>0.5086754345974559</v>
      </c>
    </row>
    <row r="67" spans="1:13" x14ac:dyDescent="0.25">
      <c r="A67" s="5"/>
      <c r="C67" s="7"/>
      <c r="D67" s="7"/>
      <c r="E67" s="7"/>
      <c r="F67" s="7"/>
      <c r="G67" s="7"/>
      <c r="H67" s="7"/>
      <c r="I67" s="7"/>
      <c r="J67" s="7"/>
      <c r="K67" s="86" t="s">
        <v>40</v>
      </c>
      <c r="L67" s="86"/>
      <c r="M67" s="77">
        <f t="shared" si="52"/>
        <v>-0.20340095568190106</v>
      </c>
    </row>
    <row r="68" spans="1:13" x14ac:dyDescent="0.25">
      <c r="A68" s="5"/>
      <c r="C68" s="7"/>
      <c r="D68" s="7"/>
      <c r="E68" s="7"/>
      <c r="F68" s="7"/>
      <c r="G68" s="6"/>
      <c r="H68" s="6"/>
      <c r="I68" s="6"/>
      <c r="J68" s="6"/>
      <c r="K68" s="86" t="s">
        <v>41</v>
      </c>
      <c r="L68" s="86"/>
      <c r="M68" s="77">
        <f t="shared" si="52"/>
        <v>-2.7127554495015874E-2</v>
      </c>
    </row>
    <row r="69" spans="1:13" x14ac:dyDescent="0.25">
      <c r="A69" s="5"/>
      <c r="C69" s="7"/>
      <c r="D69" s="7"/>
      <c r="E69" s="6"/>
      <c r="F69" s="7"/>
      <c r="G69" s="7"/>
      <c r="H69" s="7"/>
      <c r="I69" s="7"/>
      <c r="J69" s="7"/>
      <c r="K69" s="87" t="s">
        <v>42</v>
      </c>
      <c r="L69" s="87"/>
      <c r="M69" s="77"/>
    </row>
    <row r="70" spans="1:13" x14ac:dyDescent="0.25">
      <c r="A70" s="5"/>
      <c r="C70" s="7"/>
      <c r="D70" s="6"/>
      <c r="E70" s="7"/>
      <c r="F70" s="7"/>
      <c r="G70" s="7"/>
      <c r="H70" s="7"/>
      <c r="I70" s="7"/>
      <c r="J70" s="7"/>
      <c r="K70" s="86" t="s">
        <v>43</v>
      </c>
      <c r="L70" s="86"/>
      <c r="M70" s="77">
        <f t="shared" si="52"/>
        <v>0</v>
      </c>
    </row>
    <row r="71" spans="1:13" x14ac:dyDescent="0.25">
      <c r="A71" s="5"/>
      <c r="C71" s="7"/>
      <c r="D71" s="6"/>
      <c r="E71" s="6"/>
      <c r="F71" s="6"/>
      <c r="G71" s="6"/>
      <c r="H71" s="6"/>
      <c r="I71" s="6"/>
      <c r="J71" s="6"/>
      <c r="K71" s="87" t="s">
        <v>44</v>
      </c>
      <c r="L71" s="87"/>
      <c r="M71" s="77"/>
    </row>
    <row r="72" spans="1:13" x14ac:dyDescent="0.25">
      <c r="A72" s="5"/>
      <c r="C72" s="7"/>
      <c r="D72" s="6"/>
      <c r="E72" s="6"/>
      <c r="F72" s="6"/>
      <c r="G72" s="6"/>
      <c r="H72" s="6"/>
      <c r="I72" s="6"/>
      <c r="J72" s="6"/>
      <c r="K72" s="6"/>
      <c r="L72" s="7"/>
    </row>
    <row r="73" spans="1:13" x14ac:dyDescent="0.25">
      <c r="A73" s="5"/>
      <c r="C73" s="6"/>
      <c r="D73" s="6"/>
      <c r="E73" s="6"/>
      <c r="F73" s="6"/>
      <c r="G73" s="6"/>
      <c r="H73" s="6"/>
      <c r="I73" s="6"/>
      <c r="J73" s="6"/>
      <c r="K73" s="6"/>
      <c r="L73" s="7"/>
    </row>
    <row r="74" spans="1:13" x14ac:dyDescent="0.25">
      <c r="A74" s="5"/>
      <c r="C74" s="6"/>
      <c r="D74" s="6"/>
      <c r="E74" s="6"/>
      <c r="F74" s="6"/>
      <c r="G74" s="6"/>
      <c r="H74" s="6"/>
      <c r="I74" s="6"/>
      <c r="J74" s="6"/>
      <c r="K74" s="6"/>
      <c r="L74" s="7"/>
    </row>
    <row r="75" spans="1:13" x14ac:dyDescent="0.25">
      <c r="A75" s="5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3" x14ac:dyDescent="0.25">
      <c r="A76" s="5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3" x14ac:dyDescent="0.25">
      <c r="A77" s="5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3" x14ac:dyDescent="0.25">
      <c r="A78" s="5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3" x14ac:dyDescent="0.25">
      <c r="A79" s="5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3" x14ac:dyDescent="0.25">
      <c r="A80" s="5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x14ac:dyDescent="0.25">
      <c r="A81" s="5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x14ac:dyDescent="0.25">
      <c r="A82" s="5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x14ac:dyDescent="0.25">
      <c r="A83" s="5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x14ac:dyDescent="0.25">
      <c r="A84" s="5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x14ac:dyDescent="0.25">
      <c r="A85" s="5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x14ac:dyDescent="0.25">
      <c r="A86" s="5"/>
      <c r="C86" s="7"/>
      <c r="D86" s="7"/>
      <c r="E86" s="7"/>
      <c r="F86" s="6"/>
      <c r="G86" s="6"/>
      <c r="H86" s="6"/>
      <c r="I86" s="6"/>
      <c r="J86" s="6"/>
      <c r="K86" s="7"/>
      <c r="L86" s="7"/>
    </row>
    <row r="87" spans="1:12" x14ac:dyDescent="0.25">
      <c r="A87" s="5"/>
      <c r="C87" s="7"/>
      <c r="D87" s="7"/>
      <c r="E87" s="7"/>
      <c r="F87" s="6"/>
      <c r="G87" s="6"/>
      <c r="H87" s="6"/>
      <c r="I87" s="6"/>
      <c r="J87" s="6"/>
      <c r="K87" s="6"/>
      <c r="L87" s="7"/>
    </row>
    <row r="88" spans="1:12" x14ac:dyDescent="0.25">
      <c r="A88" s="5"/>
      <c r="C88" s="6"/>
      <c r="D88" s="6"/>
      <c r="E88" s="6"/>
      <c r="F88" s="6"/>
      <c r="G88" s="6"/>
      <c r="H88" s="6"/>
      <c r="I88" s="6"/>
      <c r="J88" s="6"/>
      <c r="K88" s="6"/>
      <c r="L88" s="7"/>
    </row>
    <row r="89" spans="1:12" x14ac:dyDescent="0.25">
      <c r="A89" s="5"/>
      <c r="C89" s="6"/>
      <c r="D89" s="6"/>
      <c r="E89" s="6"/>
      <c r="F89" s="6"/>
      <c r="G89" s="6"/>
      <c r="H89" s="6"/>
      <c r="I89" s="6"/>
      <c r="J89" s="6"/>
      <c r="K89" s="6"/>
      <c r="L89" s="7"/>
    </row>
    <row r="90" spans="1:12" x14ac:dyDescent="0.25">
      <c r="A90" s="5"/>
      <c r="C90" s="6"/>
      <c r="D90" s="6"/>
      <c r="E90" s="7"/>
      <c r="F90" s="7"/>
      <c r="G90" s="7"/>
      <c r="H90" s="7"/>
      <c r="I90" s="7"/>
      <c r="J90" s="7"/>
      <c r="K90" s="7"/>
      <c r="L90" s="6"/>
    </row>
    <row r="91" spans="1:12" x14ac:dyDescent="0.25">
      <c r="A91" s="5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A92" s="5"/>
      <c r="C92" s="7"/>
      <c r="D92" s="7"/>
      <c r="E92" s="6"/>
      <c r="F92" s="6"/>
      <c r="G92" s="6"/>
      <c r="H92" s="6"/>
      <c r="I92" s="6"/>
      <c r="J92" s="6"/>
      <c r="K92" s="6"/>
      <c r="L92" s="7"/>
    </row>
    <row r="93" spans="1:12" x14ac:dyDescent="0.25">
      <c r="A93" s="5"/>
      <c r="C93" s="8"/>
      <c r="D93" s="9"/>
      <c r="E93" s="8"/>
      <c r="F93" s="8"/>
      <c r="G93" s="8"/>
      <c r="H93" s="8"/>
      <c r="I93" s="8"/>
      <c r="J93" s="8"/>
      <c r="K93" s="8"/>
      <c r="L93" s="8"/>
    </row>
    <row r="94" spans="1:12" x14ac:dyDescent="0.25">
      <c r="A94" s="5"/>
      <c r="C94" s="9"/>
      <c r="D94" s="10"/>
      <c r="E94" s="9"/>
      <c r="F94" s="9"/>
      <c r="G94" s="9"/>
      <c r="H94" s="9"/>
      <c r="I94" s="10"/>
      <c r="J94" s="9"/>
      <c r="K94" s="9"/>
      <c r="L94" s="7"/>
    </row>
    <row r="95" spans="1:12" x14ac:dyDescent="0.25">
      <c r="A95" s="5"/>
      <c r="C95" s="9"/>
      <c r="D95" s="9"/>
      <c r="E95" s="9"/>
      <c r="F95" s="9"/>
      <c r="G95" s="9"/>
      <c r="H95" s="9"/>
      <c r="I95" s="9"/>
      <c r="J95" s="9"/>
      <c r="K95" s="9"/>
      <c r="L95" s="7"/>
    </row>
    <row r="96" spans="1:12" x14ac:dyDescent="0.25">
      <c r="A96" s="5"/>
      <c r="C96" s="7"/>
      <c r="D96" s="7"/>
      <c r="E96" s="7"/>
      <c r="F96" s="7"/>
      <c r="G96" s="7"/>
      <c r="H96" s="7"/>
      <c r="I96" s="7"/>
      <c r="J96" s="7"/>
      <c r="K96" s="7"/>
      <c r="L96" s="8"/>
    </row>
    <row r="97" spans="1:12" x14ac:dyDescent="0.25">
      <c r="A97" s="5"/>
      <c r="C97" s="9"/>
      <c r="D97" s="9"/>
      <c r="E97" s="9"/>
      <c r="F97" s="9"/>
      <c r="G97" s="9"/>
      <c r="H97" s="9"/>
      <c r="I97" s="9"/>
      <c r="J97" s="9"/>
      <c r="K97" s="9"/>
      <c r="L97" s="7"/>
    </row>
    <row r="98" spans="1:12" x14ac:dyDescent="0.25">
      <c r="A98" s="5"/>
      <c r="C98" s="9"/>
      <c r="D98" s="9"/>
      <c r="E98" s="9"/>
      <c r="F98" s="9"/>
      <c r="G98" s="9"/>
      <c r="H98" s="10"/>
      <c r="I98" s="9"/>
      <c r="J98" s="9"/>
      <c r="K98" s="9"/>
      <c r="L98" s="7"/>
    </row>
    <row r="99" spans="1:12" x14ac:dyDescent="0.25">
      <c r="A99" s="5"/>
      <c r="C99" s="9"/>
      <c r="D99" s="8"/>
      <c r="E99" s="8"/>
      <c r="F99" s="8"/>
      <c r="G99" s="8"/>
      <c r="H99" s="9"/>
      <c r="I99" s="8"/>
      <c r="J99" s="9"/>
      <c r="K99" s="8"/>
      <c r="L99" s="7"/>
    </row>
    <row r="100" spans="1:12" x14ac:dyDescent="0.25">
      <c r="A100" s="5"/>
      <c r="C100" s="8"/>
      <c r="D100" s="8"/>
      <c r="E100" s="8"/>
      <c r="F100" s="8"/>
      <c r="G100" s="8"/>
      <c r="H100" s="8"/>
      <c r="I100" s="8"/>
      <c r="J100" s="10"/>
      <c r="K100" s="8"/>
      <c r="L100" s="7"/>
    </row>
    <row r="101" spans="1:12" x14ac:dyDescent="0.25">
      <c r="A101" s="5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 x14ac:dyDescent="0.25">
      <c r="A102" s="5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x14ac:dyDescent="0.25">
      <c r="A103" s="5"/>
      <c r="C103" s="6"/>
      <c r="D103" s="6"/>
      <c r="E103" s="7"/>
      <c r="F103" s="7"/>
      <c r="G103" s="7"/>
      <c r="H103" s="7"/>
      <c r="I103" s="7"/>
      <c r="J103" s="7"/>
      <c r="K103" s="7"/>
      <c r="L103" s="6"/>
    </row>
    <row r="104" spans="1:12" x14ac:dyDescent="0.25">
      <c r="A104" s="5"/>
      <c r="C104" s="7"/>
      <c r="D104" s="6"/>
      <c r="E104" s="6"/>
      <c r="F104" s="6"/>
      <c r="G104" s="6"/>
      <c r="H104" s="6"/>
      <c r="I104" s="6"/>
      <c r="J104" s="6"/>
      <c r="K104" s="6"/>
      <c r="L104" s="6"/>
    </row>
    <row r="105" spans="1:12" x14ac:dyDescent="0.25">
      <c r="A105" s="5"/>
      <c r="C105" s="7"/>
      <c r="D105" s="6"/>
      <c r="E105" s="6"/>
      <c r="F105" s="6"/>
      <c r="G105" s="6"/>
      <c r="H105" s="6"/>
      <c r="I105" s="6"/>
      <c r="J105" s="6"/>
      <c r="K105" s="6"/>
      <c r="L105" s="7"/>
    </row>
    <row r="106" spans="1:12" x14ac:dyDescent="0.25">
      <c r="A106" s="5"/>
      <c r="C106" s="6"/>
      <c r="D106" s="7"/>
      <c r="E106" s="7"/>
      <c r="F106" s="7"/>
      <c r="G106" s="7"/>
      <c r="H106" s="7"/>
      <c r="I106" s="7"/>
      <c r="J106" s="7"/>
      <c r="K106" s="7"/>
      <c r="L106" s="7"/>
    </row>
    <row r="107" spans="1:12" x14ac:dyDescent="0.25">
      <c r="A107" s="5"/>
      <c r="C107" s="7"/>
      <c r="D107" s="6"/>
      <c r="E107" s="6"/>
      <c r="F107" s="6"/>
      <c r="G107" s="6"/>
      <c r="H107" s="6"/>
      <c r="I107" s="6"/>
      <c r="J107" s="6"/>
      <c r="K107" s="6"/>
      <c r="L107" s="7"/>
    </row>
    <row r="108" spans="1:12" x14ac:dyDescent="0.25">
      <c r="A108" s="5"/>
      <c r="C108" s="7"/>
      <c r="D108" s="7"/>
      <c r="E108" s="7"/>
      <c r="F108" s="7"/>
      <c r="G108" s="7"/>
      <c r="H108" s="7"/>
      <c r="I108" s="7"/>
      <c r="J108" s="7"/>
      <c r="K108" s="7"/>
      <c r="L108" s="6"/>
    </row>
    <row r="109" spans="1:12" x14ac:dyDescent="0.25">
      <c r="A109" s="5"/>
      <c r="C109" s="7"/>
      <c r="D109" s="7"/>
      <c r="E109" s="7"/>
      <c r="F109" s="7"/>
      <c r="G109" s="7"/>
      <c r="H109" s="7"/>
      <c r="I109" s="7"/>
      <c r="J109" s="7"/>
      <c r="K109" s="7"/>
      <c r="L109" s="8"/>
    </row>
    <row r="110" spans="1:12" x14ac:dyDescent="0.25">
      <c r="A110" s="5"/>
      <c r="C110" s="7"/>
      <c r="D110" s="7"/>
      <c r="E110" s="7"/>
      <c r="F110" s="7"/>
      <c r="G110" s="7"/>
      <c r="H110" s="7"/>
      <c r="I110" s="7"/>
      <c r="J110" s="7"/>
      <c r="K110" s="7"/>
      <c r="L110" s="8"/>
    </row>
    <row r="111" spans="1:12" x14ac:dyDescent="0.25">
      <c r="A111" s="5"/>
      <c r="C111" s="7"/>
      <c r="D111" s="7"/>
      <c r="E111" s="7"/>
      <c r="F111" s="7"/>
      <c r="G111" s="7"/>
      <c r="H111" s="7"/>
      <c r="I111" s="7"/>
      <c r="J111" s="7"/>
      <c r="K111" s="7"/>
      <c r="L111" s="8"/>
    </row>
    <row r="112" spans="1:12" x14ac:dyDescent="0.25">
      <c r="A112" s="5"/>
      <c r="C112" s="7"/>
      <c r="D112" s="7"/>
      <c r="E112" s="7"/>
      <c r="F112" s="7"/>
      <c r="G112" s="7"/>
      <c r="H112" s="7"/>
      <c r="I112" s="7"/>
      <c r="J112" s="7"/>
      <c r="K112" s="7"/>
      <c r="L112" s="8"/>
    </row>
    <row r="114" spans="1:12" x14ac:dyDescent="0.25">
      <c r="A114" s="2"/>
    </row>
    <row r="115" spans="1:12" x14ac:dyDescent="0.25">
      <c r="A115" s="3"/>
      <c r="D115" s="4"/>
      <c r="E115" s="4"/>
      <c r="F115" s="4"/>
      <c r="G115" s="4"/>
      <c r="H115" s="4"/>
      <c r="I115" s="4"/>
      <c r="J115" s="4"/>
      <c r="K115" s="4"/>
      <c r="L115" s="4"/>
    </row>
    <row r="116" spans="1:12" x14ac:dyDescent="0.25">
      <c r="A116" s="3"/>
      <c r="D116" s="4"/>
      <c r="E116" s="4"/>
      <c r="F116" s="4"/>
      <c r="G116" s="4"/>
      <c r="H116" s="4"/>
      <c r="I116" s="4"/>
      <c r="J116" s="4"/>
      <c r="K116" s="4"/>
      <c r="L116" s="4"/>
    </row>
    <row r="117" spans="1:12" x14ac:dyDescent="0.25">
      <c r="A117" s="3"/>
      <c r="D117" s="4"/>
      <c r="E117" s="4"/>
      <c r="F117" s="4"/>
      <c r="G117" s="4"/>
      <c r="H117" s="4"/>
      <c r="I117" s="4"/>
      <c r="J117" s="4"/>
      <c r="K117" s="4"/>
      <c r="L117" s="4"/>
    </row>
    <row r="118" spans="1:12" x14ac:dyDescent="0.25">
      <c r="A118" s="3"/>
      <c r="D118" s="4"/>
      <c r="E118" s="4"/>
      <c r="F118" s="4"/>
      <c r="G118" s="4"/>
      <c r="H118" s="4"/>
      <c r="I118" s="4"/>
      <c r="J118" s="4"/>
      <c r="K118" s="4"/>
      <c r="L118" s="4"/>
    </row>
    <row r="119" spans="1:12" x14ac:dyDescent="0.25">
      <c r="A119" s="3"/>
      <c r="D119" s="4"/>
      <c r="E119" s="4"/>
      <c r="F119" s="4"/>
      <c r="G119" s="4"/>
      <c r="H119" s="4"/>
      <c r="I119" s="4"/>
      <c r="J119" s="4"/>
      <c r="K119" s="4"/>
      <c r="L119" s="4"/>
    </row>
    <row r="120" spans="1:12" x14ac:dyDescent="0.25">
      <c r="A120" s="5"/>
      <c r="D120" s="6"/>
      <c r="E120" s="6"/>
      <c r="F120" s="6"/>
      <c r="G120" s="6"/>
      <c r="H120" s="6"/>
      <c r="I120" s="6"/>
      <c r="J120" s="6"/>
      <c r="K120" s="6"/>
      <c r="L120" s="6"/>
    </row>
    <row r="121" spans="1:12" x14ac:dyDescent="0.25">
      <c r="A121" s="5"/>
      <c r="D121" s="6"/>
      <c r="E121" s="6"/>
      <c r="F121" s="6"/>
      <c r="G121" s="6"/>
      <c r="H121" s="6"/>
      <c r="I121" s="6"/>
      <c r="J121" s="6"/>
      <c r="K121" s="6"/>
      <c r="L121" s="6"/>
    </row>
    <row r="122" spans="1:12" x14ac:dyDescent="0.25">
      <c r="A122" s="5"/>
      <c r="D122" s="6"/>
      <c r="E122" s="6"/>
      <c r="F122" s="6"/>
      <c r="G122" s="6"/>
      <c r="H122" s="6"/>
      <c r="I122" s="6"/>
      <c r="J122" s="6"/>
      <c r="K122" s="6"/>
      <c r="L122" s="6"/>
    </row>
    <row r="123" spans="1:12" x14ac:dyDescent="0.25">
      <c r="A123" s="5"/>
      <c r="D123" s="7"/>
      <c r="E123" s="7"/>
      <c r="F123" s="7"/>
      <c r="G123" s="7"/>
      <c r="H123" s="7"/>
      <c r="I123" s="6"/>
      <c r="J123" s="7"/>
      <c r="K123" s="7"/>
      <c r="L123" s="7"/>
    </row>
    <row r="124" spans="1:12" x14ac:dyDescent="0.25">
      <c r="A124" s="5"/>
      <c r="D124" s="7"/>
      <c r="E124" s="7"/>
      <c r="F124" s="7"/>
      <c r="G124" s="7"/>
      <c r="H124" s="7"/>
      <c r="I124" s="6"/>
      <c r="J124" s="7"/>
      <c r="K124" s="7"/>
      <c r="L124" s="7"/>
    </row>
    <row r="125" spans="1:12" x14ac:dyDescent="0.25">
      <c r="A125" s="5"/>
      <c r="D125" s="7"/>
      <c r="E125" s="7"/>
      <c r="F125" s="7"/>
      <c r="G125" s="7"/>
      <c r="H125" s="6"/>
      <c r="I125" s="7"/>
      <c r="J125" s="7"/>
      <c r="K125" s="7"/>
      <c r="L125" s="7"/>
    </row>
    <row r="126" spans="1:12" x14ac:dyDescent="0.25">
      <c r="A126" s="5"/>
      <c r="D126" s="6"/>
      <c r="E126" s="6"/>
      <c r="F126" s="6"/>
      <c r="G126" s="6"/>
      <c r="H126" s="6"/>
      <c r="I126" s="6"/>
      <c r="J126" s="6"/>
      <c r="K126" s="6"/>
      <c r="L126" s="6"/>
    </row>
    <row r="128" spans="1:12" x14ac:dyDescent="0.25">
      <c r="A128" s="2"/>
    </row>
    <row r="129" spans="1:12" x14ac:dyDescent="0.25">
      <c r="A129" s="3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spans="1:12" x14ac:dyDescent="0.25">
      <c r="A130" s="3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spans="1:12" x14ac:dyDescent="0.25">
      <c r="A131" s="3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spans="1:12" x14ac:dyDescent="0.25">
      <c r="A132" s="3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spans="1:12" x14ac:dyDescent="0.25">
      <c r="A133" s="3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spans="1:12" x14ac:dyDescent="0.25">
      <c r="A134" s="5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1:12" x14ac:dyDescent="0.25">
      <c r="A135" s="5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1:12" x14ac:dyDescent="0.25">
      <c r="A136" s="5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1:12" x14ac:dyDescent="0.25">
      <c r="A137" s="5"/>
      <c r="C137" s="6"/>
      <c r="D137" s="6"/>
      <c r="E137" s="6"/>
      <c r="F137" s="7"/>
      <c r="G137" s="7"/>
      <c r="H137" s="7"/>
      <c r="I137" s="7"/>
      <c r="J137" s="7"/>
      <c r="K137" s="7"/>
      <c r="L137" s="7"/>
    </row>
    <row r="138" spans="1:12" x14ac:dyDescent="0.25">
      <c r="A138" s="5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1:12" x14ac:dyDescent="0.25">
      <c r="A139" s="5"/>
      <c r="C139" s="7"/>
      <c r="D139" s="7"/>
      <c r="E139" s="6"/>
      <c r="F139" s="7"/>
      <c r="G139" s="7"/>
      <c r="H139" s="7"/>
      <c r="I139" s="7"/>
      <c r="J139" s="7"/>
      <c r="K139" s="7"/>
      <c r="L139" s="7"/>
    </row>
    <row r="140" spans="1:12" x14ac:dyDescent="0.25">
      <c r="A140" s="5"/>
      <c r="C140" s="7"/>
      <c r="D140" s="7"/>
      <c r="E140" s="7"/>
      <c r="F140" s="6"/>
      <c r="G140" s="6"/>
      <c r="H140" s="6"/>
      <c r="I140" s="6"/>
      <c r="J140" s="7"/>
      <c r="K140" s="7"/>
      <c r="L140" s="7"/>
    </row>
    <row r="141" spans="1:12" x14ac:dyDescent="0.25">
      <c r="A141" s="5"/>
      <c r="C141" s="6"/>
      <c r="D141" s="6"/>
      <c r="E141" s="7"/>
      <c r="F141" s="7"/>
      <c r="G141" s="7"/>
      <c r="H141" s="7"/>
      <c r="I141" s="7"/>
      <c r="J141" s="7"/>
      <c r="K141" s="7"/>
      <c r="L141" s="7"/>
    </row>
    <row r="142" spans="1:12" x14ac:dyDescent="0.25">
      <c r="A142" s="5"/>
      <c r="C142" s="6"/>
      <c r="D142" s="6"/>
      <c r="E142" s="7"/>
      <c r="F142" s="7"/>
      <c r="G142" s="7"/>
      <c r="H142" s="7"/>
      <c r="I142" s="7"/>
      <c r="J142" s="7"/>
      <c r="K142" s="7"/>
      <c r="L142" s="7"/>
    </row>
    <row r="143" spans="1:12" x14ac:dyDescent="0.25">
      <c r="A143" s="5"/>
      <c r="C143" s="7"/>
      <c r="D143" s="6"/>
      <c r="E143" s="7"/>
      <c r="F143" s="7"/>
      <c r="G143" s="7"/>
      <c r="H143" s="7"/>
      <c r="I143" s="7"/>
      <c r="J143" s="7"/>
      <c r="K143" s="7"/>
      <c r="L143" s="7"/>
    </row>
    <row r="144" spans="1:12" x14ac:dyDescent="0.25">
      <c r="A144" s="5"/>
      <c r="C144" s="7"/>
      <c r="D144" s="6"/>
      <c r="E144" s="6"/>
      <c r="F144" s="6"/>
      <c r="G144" s="6"/>
      <c r="H144" s="6"/>
      <c r="I144" s="6"/>
      <c r="J144" s="6"/>
      <c r="K144" s="6"/>
      <c r="L144" s="6"/>
    </row>
    <row r="145" spans="1:12" x14ac:dyDescent="0.25">
      <c r="A145" s="5"/>
      <c r="C145" s="7"/>
      <c r="D145" s="7"/>
      <c r="E145" s="6"/>
      <c r="F145" s="7"/>
      <c r="G145" s="7"/>
      <c r="H145" s="7"/>
      <c r="I145" s="7"/>
      <c r="J145" s="7"/>
      <c r="K145" s="7"/>
      <c r="L145" s="7"/>
    </row>
    <row r="146" spans="1:12" x14ac:dyDescent="0.25">
      <c r="A146" s="5"/>
      <c r="C146" s="7"/>
      <c r="D146" s="7"/>
      <c r="E146" s="6"/>
      <c r="F146" s="6"/>
      <c r="G146" s="6"/>
      <c r="H146" s="6"/>
      <c r="I146" s="6"/>
      <c r="J146" s="6"/>
      <c r="K146" s="6"/>
      <c r="L146" s="6"/>
    </row>
    <row r="147" spans="1:12" x14ac:dyDescent="0.25">
      <c r="A147" s="5"/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 spans="1:12" x14ac:dyDescent="0.25">
      <c r="A148" s="5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1:12" x14ac:dyDescent="0.25">
      <c r="A149" s="5"/>
      <c r="C149" s="7"/>
      <c r="D149" s="7"/>
      <c r="E149" s="6"/>
      <c r="F149" s="6"/>
      <c r="G149" s="6"/>
      <c r="H149" s="6"/>
      <c r="I149" s="6"/>
      <c r="J149" s="6"/>
      <c r="K149" s="6"/>
      <c r="L149" s="6"/>
    </row>
    <row r="150" spans="1:12" x14ac:dyDescent="0.25">
      <c r="A150" s="5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1:12" x14ac:dyDescent="0.25">
      <c r="A151" s="5"/>
      <c r="C151" s="7"/>
      <c r="D151" s="7"/>
      <c r="E151" s="7"/>
      <c r="F151" s="6"/>
      <c r="G151" s="6"/>
      <c r="H151" s="6"/>
      <c r="I151" s="6"/>
      <c r="J151" s="6"/>
      <c r="K151" s="6"/>
      <c r="L151" s="6"/>
    </row>
    <row r="152" spans="1:12" x14ac:dyDescent="0.25">
      <c r="A152" s="5"/>
      <c r="C152" s="7"/>
      <c r="D152" s="7"/>
      <c r="E152" s="6"/>
      <c r="F152" s="6"/>
      <c r="G152" s="6"/>
      <c r="H152" s="6"/>
      <c r="I152" s="6"/>
      <c r="J152" s="6"/>
      <c r="K152" s="6"/>
      <c r="L152" s="6"/>
    </row>
    <row r="153" spans="1:12" x14ac:dyDescent="0.25">
      <c r="A153" s="5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 spans="1:12" x14ac:dyDescent="0.25">
      <c r="A154" s="5"/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 spans="1:12" x14ac:dyDescent="0.25">
      <c r="A155" s="5"/>
      <c r="C155" s="6"/>
      <c r="D155" s="6"/>
      <c r="E155" s="7"/>
      <c r="F155" s="7"/>
      <c r="G155" s="7"/>
      <c r="H155" s="7"/>
      <c r="I155" s="7"/>
      <c r="J155" s="7"/>
      <c r="K155" s="7"/>
      <c r="L155" s="7"/>
    </row>
    <row r="156" spans="1:12" x14ac:dyDescent="0.25">
      <c r="A156" s="5"/>
      <c r="C156" s="6"/>
      <c r="D156" s="6"/>
      <c r="E156" s="7"/>
      <c r="F156" s="7"/>
      <c r="G156" s="7"/>
      <c r="H156" s="7"/>
      <c r="I156" s="7"/>
      <c r="J156" s="7"/>
      <c r="K156" s="7"/>
      <c r="L156" s="7"/>
    </row>
    <row r="157" spans="1:12" x14ac:dyDescent="0.25">
      <c r="A157" s="5"/>
      <c r="C157" s="7"/>
      <c r="D157" s="7"/>
      <c r="E157" s="6"/>
      <c r="F157" s="6"/>
      <c r="G157" s="6"/>
      <c r="H157" s="6"/>
      <c r="I157" s="6"/>
      <c r="J157" s="6"/>
      <c r="K157" s="6"/>
      <c r="L157" s="6"/>
    </row>
    <row r="158" spans="1:12" x14ac:dyDescent="0.25">
      <c r="A158" s="5"/>
      <c r="C158" s="6"/>
      <c r="D158" s="6"/>
      <c r="E158" s="6"/>
      <c r="F158" s="6"/>
      <c r="G158" s="7"/>
      <c r="H158" s="7"/>
      <c r="I158" s="7"/>
      <c r="J158" s="7"/>
      <c r="K158" s="7"/>
      <c r="L158" s="7"/>
    </row>
    <row r="159" spans="1:12" x14ac:dyDescent="0.25">
      <c r="A159" s="5"/>
      <c r="C159" s="7"/>
      <c r="D159" s="7"/>
      <c r="E159" s="7"/>
      <c r="F159" s="7"/>
      <c r="G159" s="6"/>
      <c r="H159" s="6"/>
      <c r="I159" s="6"/>
      <c r="J159" s="7"/>
      <c r="K159" s="7"/>
      <c r="L159" s="7"/>
    </row>
    <row r="160" spans="1:12" x14ac:dyDescent="0.25">
      <c r="A160" s="5"/>
      <c r="C160" s="7"/>
      <c r="D160" s="6"/>
      <c r="E160" s="7"/>
      <c r="F160" s="7"/>
      <c r="G160" s="6"/>
      <c r="H160" s="7"/>
      <c r="I160" s="7"/>
      <c r="J160" s="7"/>
      <c r="K160" s="7"/>
      <c r="L160" s="7"/>
    </row>
    <row r="161" spans="1:12" x14ac:dyDescent="0.25">
      <c r="A161" s="5"/>
      <c r="C161" s="7"/>
      <c r="D161" s="6"/>
      <c r="E161" s="6"/>
      <c r="F161" s="6"/>
      <c r="G161" s="6"/>
      <c r="H161" s="6"/>
      <c r="I161" s="6"/>
      <c r="J161" s="6"/>
      <c r="K161" s="6"/>
      <c r="L161" s="6"/>
    </row>
    <row r="162" spans="1:12" x14ac:dyDescent="0.25">
      <c r="A162" s="5"/>
      <c r="C162" s="6"/>
      <c r="D162" s="6"/>
      <c r="E162" s="6"/>
      <c r="F162" s="7"/>
      <c r="G162" s="6"/>
      <c r="H162" s="6"/>
      <c r="I162" s="7"/>
      <c r="J162" s="6"/>
      <c r="K162" s="7"/>
      <c r="L162" s="6"/>
    </row>
    <row r="163" spans="1:12" x14ac:dyDescent="0.25">
      <c r="A163" s="5"/>
      <c r="C163" s="6"/>
      <c r="D163" s="6"/>
      <c r="E163" s="7"/>
      <c r="F163" s="7"/>
      <c r="G163" s="7"/>
      <c r="H163" s="7"/>
      <c r="I163" s="7"/>
      <c r="J163" s="7"/>
      <c r="K163" s="7"/>
      <c r="L163" s="7"/>
    </row>
    <row r="164" spans="1:12" x14ac:dyDescent="0.25">
      <c r="A164" s="5"/>
      <c r="C164" s="7"/>
      <c r="D164" s="7"/>
      <c r="E164" s="7"/>
      <c r="F164" s="7"/>
      <c r="G164" s="7"/>
      <c r="H164" s="6"/>
      <c r="I164" s="6"/>
      <c r="J164" s="6"/>
      <c r="K164" s="6"/>
      <c r="L164" s="6"/>
    </row>
    <row r="165" spans="1:12" x14ac:dyDescent="0.25">
      <c r="A165" s="5"/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pans="1:12" x14ac:dyDescent="0.25">
      <c r="A166" s="5"/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 spans="1:12" x14ac:dyDescent="0.25">
      <c r="A167" s="5"/>
      <c r="C167" s="6"/>
      <c r="D167" s="6"/>
      <c r="E167" s="6"/>
      <c r="F167" s="6"/>
      <c r="G167" s="6"/>
      <c r="H167" s="6"/>
      <c r="I167" s="6"/>
      <c r="J167" s="7"/>
      <c r="K167" s="7"/>
      <c r="L167" s="7"/>
    </row>
    <row r="168" spans="1:12" x14ac:dyDescent="0.25">
      <c r="A168" s="5"/>
      <c r="C168" s="7"/>
      <c r="D168" s="7"/>
      <c r="E168" s="7"/>
      <c r="F168" s="7"/>
      <c r="G168" s="7"/>
      <c r="H168" s="7"/>
      <c r="I168" s="7"/>
      <c r="J168" s="7"/>
      <c r="K168" s="7"/>
      <c r="L168" s="6"/>
    </row>
    <row r="169" spans="1:12" x14ac:dyDescent="0.25">
      <c r="A169" s="5"/>
      <c r="C169" s="6"/>
      <c r="D169" s="6"/>
      <c r="E169" s="6"/>
      <c r="F169" s="7"/>
      <c r="G169" s="6"/>
      <c r="H169" s="6"/>
      <c r="I169" s="6"/>
      <c r="J169" s="6"/>
      <c r="K169" s="6"/>
      <c r="L169" s="6"/>
    </row>
    <row r="170" spans="1:12" x14ac:dyDescent="0.25">
      <c r="A170" s="5"/>
      <c r="C170" s="7"/>
      <c r="D170" s="7"/>
      <c r="E170" s="7"/>
      <c r="F170" s="7"/>
      <c r="G170" s="6"/>
      <c r="H170" s="7"/>
      <c r="I170" s="7"/>
      <c r="J170" s="7"/>
      <c r="K170" s="7"/>
      <c r="L170" s="7"/>
    </row>
    <row r="171" spans="1:12" x14ac:dyDescent="0.25">
      <c r="A171" s="5"/>
      <c r="C171" s="7"/>
      <c r="D171" s="7"/>
      <c r="E171" s="6"/>
      <c r="F171" s="7"/>
      <c r="G171" s="7"/>
      <c r="H171" s="7"/>
      <c r="I171" s="7"/>
      <c r="J171" s="7"/>
      <c r="K171" s="7"/>
      <c r="L171" s="7"/>
    </row>
    <row r="172" spans="1:12" x14ac:dyDescent="0.25">
      <c r="A172" s="5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1:12" x14ac:dyDescent="0.25">
      <c r="A173" s="5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1:12" x14ac:dyDescent="0.25">
      <c r="A174" s="5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1:12" x14ac:dyDescent="0.25">
      <c r="A175" s="5"/>
      <c r="C175" s="7"/>
      <c r="D175" s="7"/>
      <c r="E175" s="7"/>
      <c r="F175" s="7"/>
      <c r="G175" s="7"/>
      <c r="H175" s="7"/>
      <c r="I175" s="7"/>
      <c r="J175" s="7"/>
      <c r="K175" s="6"/>
      <c r="L175" s="6"/>
    </row>
    <row r="176" spans="1:12" x14ac:dyDescent="0.25">
      <c r="A176" s="5"/>
      <c r="C176" s="6"/>
      <c r="D176" s="6"/>
      <c r="E176" s="6"/>
      <c r="F176" s="7"/>
      <c r="G176" s="7"/>
      <c r="H176" s="7"/>
      <c r="I176" s="7"/>
      <c r="J176" s="7"/>
      <c r="K176" s="7"/>
      <c r="L176" s="7"/>
    </row>
    <row r="177" spans="1:12" x14ac:dyDescent="0.25">
      <c r="A177" s="5"/>
      <c r="C177" s="6"/>
      <c r="D177" s="7"/>
      <c r="E177" s="7"/>
      <c r="F177" s="7"/>
      <c r="G177" s="7"/>
      <c r="H177" s="7"/>
      <c r="I177" s="7"/>
      <c r="J177" s="7"/>
      <c r="K177" s="7"/>
      <c r="L177" s="7"/>
    </row>
    <row r="178" spans="1:12" x14ac:dyDescent="0.25">
      <c r="A178" s="5"/>
      <c r="C178" s="7"/>
      <c r="D178" s="6"/>
      <c r="E178" s="7"/>
      <c r="F178" s="7"/>
      <c r="G178" s="7"/>
      <c r="H178" s="7"/>
      <c r="I178" s="7"/>
      <c r="J178" s="7"/>
      <c r="K178" s="7"/>
      <c r="L178" s="7"/>
    </row>
    <row r="179" spans="1:12" x14ac:dyDescent="0.25">
      <c r="A179" s="5"/>
      <c r="C179" s="7"/>
      <c r="D179" s="6"/>
      <c r="E179" s="7"/>
      <c r="F179" s="7"/>
      <c r="G179" s="7"/>
      <c r="H179" s="7"/>
      <c r="I179" s="7"/>
      <c r="J179" s="7"/>
      <c r="K179" s="7"/>
      <c r="L179" s="7"/>
    </row>
    <row r="180" spans="1:12" x14ac:dyDescent="0.25">
      <c r="A180" s="5"/>
      <c r="C180" s="6"/>
      <c r="D180" s="6"/>
      <c r="E180" s="6"/>
      <c r="F180" s="6"/>
      <c r="G180" s="6"/>
      <c r="H180" s="6"/>
      <c r="I180" s="6"/>
      <c r="J180" s="6"/>
      <c r="K180" s="6"/>
      <c r="L180" s="6"/>
    </row>
    <row r="181" spans="1:12" x14ac:dyDescent="0.25">
      <c r="A181" s="5"/>
      <c r="C181" s="7"/>
      <c r="D181" s="6"/>
      <c r="E181" s="6"/>
      <c r="F181" s="6"/>
      <c r="G181" s="6"/>
      <c r="H181" s="6"/>
      <c r="I181" s="6"/>
      <c r="J181" s="6"/>
      <c r="K181" s="6"/>
      <c r="L181" s="6"/>
    </row>
    <row r="182" spans="1:12" x14ac:dyDescent="0.25">
      <c r="A182" s="5"/>
      <c r="C182" s="7"/>
      <c r="D182" s="7"/>
      <c r="E182" s="7"/>
      <c r="F182" s="7"/>
      <c r="G182" s="7"/>
      <c r="H182" s="7"/>
      <c r="I182" s="6"/>
      <c r="J182" s="6"/>
      <c r="K182" s="6"/>
      <c r="L182" s="7"/>
    </row>
    <row r="183" spans="1:12" x14ac:dyDescent="0.25">
      <c r="A183" s="5"/>
      <c r="C183" s="7"/>
      <c r="D183" s="7"/>
      <c r="E183" s="7"/>
      <c r="F183" s="7"/>
      <c r="G183" s="7"/>
      <c r="H183" s="7"/>
      <c r="I183" s="6"/>
      <c r="J183" s="6"/>
      <c r="K183" s="7"/>
      <c r="L183" s="7"/>
    </row>
    <row r="184" spans="1:12" x14ac:dyDescent="0.25">
      <c r="A184" s="5"/>
      <c r="C184" s="6"/>
      <c r="D184" s="6"/>
      <c r="E184" s="6"/>
      <c r="F184" s="6"/>
      <c r="G184" s="6"/>
      <c r="H184" s="6"/>
      <c r="I184" s="6"/>
      <c r="J184" s="6"/>
      <c r="K184" s="6"/>
      <c r="L184" s="7"/>
    </row>
    <row r="185" spans="1:12" x14ac:dyDescent="0.25">
      <c r="A185" s="5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1:12" x14ac:dyDescent="0.25">
      <c r="A186" s="5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pans="1:12" x14ac:dyDescent="0.25">
      <c r="A187" s="5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 spans="1:12" x14ac:dyDescent="0.25">
      <c r="A188" s="5"/>
      <c r="C188" s="6"/>
      <c r="D188" s="6"/>
      <c r="E188" s="6"/>
      <c r="F188" s="6"/>
      <c r="G188" s="6"/>
      <c r="H188" s="6"/>
      <c r="I188" s="6"/>
      <c r="J188" s="6"/>
      <c r="K188" s="6"/>
      <c r="L188" s="6"/>
    </row>
    <row r="189" spans="1:12" x14ac:dyDescent="0.25">
      <c r="A189" s="5"/>
      <c r="C189" s="7"/>
      <c r="D189" s="7"/>
      <c r="E189" s="7"/>
      <c r="F189" s="7"/>
      <c r="G189" s="7"/>
      <c r="H189" s="7"/>
      <c r="I189" s="7"/>
      <c r="J189" s="7"/>
      <c r="K189" s="7"/>
      <c r="L189" s="6"/>
    </row>
  </sheetData>
  <sheetProtection formatCells="0" formatColumns="0" formatRows="0" insertColumns="0" insertRows="0" insertHyperlinks="0" deleteColumns="0" deleteRows="0" sort="0" autoFilter="0" pivotTables="0"/>
  <mergeCells count="2">
    <mergeCell ref="K41:M41"/>
    <mergeCell ref="AP10:AS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DFE1E-A520-4A1A-B87C-3E950AAB1ADA}">
  <dimension ref="A1:N22"/>
  <sheetViews>
    <sheetView topLeftCell="B1" workbookViewId="0">
      <selection activeCell="C11" sqref="C11"/>
    </sheetView>
  </sheetViews>
  <sheetFormatPr defaultColWidth="11.5546875" defaultRowHeight="13.2" x14ac:dyDescent="0.25"/>
  <cols>
    <col min="2" max="2" width="20.6640625" customWidth="1"/>
    <col min="3" max="3" width="19" customWidth="1"/>
    <col min="4" max="10" width="14.6640625" bestFit="1" customWidth="1"/>
  </cols>
  <sheetData>
    <row r="1" spans="1:14" x14ac:dyDescent="0.25">
      <c r="A1" s="58" t="s">
        <v>89</v>
      </c>
      <c r="D1" s="58" t="s">
        <v>90</v>
      </c>
      <c r="E1">
        <v>1</v>
      </c>
      <c r="F1">
        <v>2</v>
      </c>
      <c r="G1">
        <v>3</v>
      </c>
      <c r="H1">
        <v>4</v>
      </c>
      <c r="I1">
        <v>5</v>
      </c>
    </row>
    <row r="2" spans="1:14" x14ac:dyDescent="0.25">
      <c r="D2" s="64">
        <v>2024</v>
      </c>
      <c r="E2" s="64">
        <v>2025</v>
      </c>
      <c r="F2" s="64">
        <v>2026</v>
      </c>
      <c r="G2" s="64">
        <v>2027</v>
      </c>
      <c r="H2" s="64">
        <v>2028</v>
      </c>
      <c r="I2" s="64">
        <v>2029</v>
      </c>
      <c r="J2" s="64" t="s">
        <v>91</v>
      </c>
    </row>
    <row r="3" spans="1:14" x14ac:dyDescent="0.25">
      <c r="A3" s="58" t="s">
        <v>72</v>
      </c>
      <c r="D3" s="67">
        <f>SAISLower!M8</f>
        <v>11202263</v>
      </c>
      <c r="E3" s="67">
        <f>SAISLower!N8</f>
        <v>11314285.630000001</v>
      </c>
      <c r="F3" s="67">
        <f>SAISLower!O8</f>
        <v>11427428.486300001</v>
      </c>
      <c r="G3" s="67">
        <f>SAISLower!P8</f>
        <v>11541702.771163002</v>
      </c>
      <c r="H3" s="67">
        <f>SAISLower!Q8</f>
        <v>11657119.798874632</v>
      </c>
      <c r="I3" s="67">
        <f>SAISLower!R8</f>
        <v>11773690.996863378</v>
      </c>
      <c r="J3" s="67">
        <f>SAISLower!S8</f>
        <v>11832559.451847693</v>
      </c>
    </row>
    <row r="4" spans="1:14" x14ac:dyDescent="0.25">
      <c r="A4" s="58" t="s">
        <v>63</v>
      </c>
      <c r="D4" s="67">
        <f>SABSLower!AF44</f>
        <v>2610747.4500000002</v>
      </c>
      <c r="E4" s="67">
        <f>SABSLower!AG44</f>
        <v>2636854.9244999997</v>
      </c>
      <c r="F4" s="67">
        <f>SABSLower!AH44</f>
        <v>2663223.4737449996</v>
      </c>
      <c r="G4" s="67">
        <f>SABSLower!AI44</f>
        <v>2689855.7084824494</v>
      </c>
      <c r="H4" s="67">
        <f>SABSLower!AJ44</f>
        <v>2716754.2655672743</v>
      </c>
      <c r="I4" s="67">
        <f>SABSLower!AK44</f>
        <v>2743921.8082229476</v>
      </c>
      <c r="J4" s="67">
        <f>SABSLower!AL44</f>
        <v>2757641.4172640615</v>
      </c>
    </row>
    <row r="5" spans="1:14" x14ac:dyDescent="0.25">
      <c r="A5" s="58" t="s">
        <v>66</v>
      </c>
      <c r="D5" s="67">
        <f>SABSLower!AF45</f>
        <v>9086059</v>
      </c>
      <c r="E5" s="67">
        <f>SABSLower!AG45</f>
        <v>9176919.5900000017</v>
      </c>
      <c r="F5" s="67">
        <f>SABSLower!AH45</f>
        <v>9268688.7858999986</v>
      </c>
      <c r="G5" s="67">
        <f>SABSLower!AI45</f>
        <v>9361375.6737590004</v>
      </c>
      <c r="H5" s="67">
        <f>SABSLower!AJ45</f>
        <v>9454989.4304965921</v>
      </c>
      <c r="I5" s="67">
        <f>SABSLower!AK45</f>
        <v>9549539.3248015568</v>
      </c>
      <c r="J5" s="67">
        <f>SABSLower!AL45</f>
        <v>9597287.0214255638</v>
      </c>
    </row>
    <row r="6" spans="1:14" x14ac:dyDescent="0.25">
      <c r="A6" s="58"/>
      <c r="D6" s="67"/>
      <c r="E6" s="67"/>
      <c r="F6" s="67"/>
      <c r="G6" s="67"/>
      <c r="H6" s="67"/>
      <c r="I6" s="67"/>
      <c r="J6" s="15"/>
    </row>
    <row r="7" spans="1:14" x14ac:dyDescent="0.25">
      <c r="A7" s="58" t="s">
        <v>92</v>
      </c>
      <c r="D7" s="67"/>
      <c r="E7" s="67">
        <f t="shared" ref="E7:J7" si="0">E4-(D5*4.61%)</f>
        <v>2217987.6045999997</v>
      </c>
      <c r="F7" s="67">
        <f t="shared" si="0"/>
        <v>2240167.4806459993</v>
      </c>
      <c r="G7" s="67">
        <f t="shared" si="0"/>
        <v>2262569.1554524596</v>
      </c>
      <c r="H7" s="67">
        <f t="shared" si="0"/>
        <v>2285194.8470069845</v>
      </c>
      <c r="I7" s="67">
        <f t="shared" si="0"/>
        <v>2308046.7954770545</v>
      </c>
      <c r="J7" s="67">
        <f>J4-(I5*4.61%)</f>
        <v>2317407.6543907095</v>
      </c>
    </row>
    <row r="8" spans="1:14" x14ac:dyDescent="0.25">
      <c r="A8" s="58" t="s">
        <v>93</v>
      </c>
      <c r="D8" s="67"/>
      <c r="E8" s="66">
        <f>(1/(1+4.61%)^E1)</f>
        <v>0.95593155530064045</v>
      </c>
      <c r="F8" s="66">
        <f>(1/(1+4.61%)^F1)</f>
        <v>0.91380513841950139</v>
      </c>
      <c r="G8" s="66">
        <f>(1/(1+4.61%)^G1)</f>
        <v>0.87353516721107105</v>
      </c>
      <c r="H8" s="66">
        <f>(1/(1+4.61%)^H1)</f>
        <v>0.83503983100188417</v>
      </c>
      <c r="I8" s="66">
        <f>(1/(1+4.61%)^I1)</f>
        <v>0.79824092438761496</v>
      </c>
      <c r="J8" s="15"/>
    </row>
    <row r="9" spans="1:14" x14ac:dyDescent="0.25">
      <c r="A9" s="58" t="s">
        <v>94</v>
      </c>
      <c r="D9" s="67"/>
      <c r="E9" s="67">
        <f>E8*E7</f>
        <v>2120244.3405028195</v>
      </c>
      <c r="F9" s="67">
        <f t="shared" ref="F9:I9" si="1">F8*F7</f>
        <v>2047076.554734583</v>
      </c>
      <c r="G9" s="67">
        <f t="shared" si="1"/>
        <v>1976433.725534776</v>
      </c>
      <c r="H9" s="67">
        <f t="shared" si="1"/>
        <v>1908228.718851089</v>
      </c>
      <c r="I9" s="67">
        <f t="shared" si="1"/>
        <v>1842377.4075514765</v>
      </c>
      <c r="J9" s="15"/>
    </row>
    <row r="10" spans="1:14" x14ac:dyDescent="0.25">
      <c r="A10" s="58" t="s">
        <v>105</v>
      </c>
      <c r="C10" s="15">
        <f>SUM(E9:I9)</f>
        <v>9894360.7471747436</v>
      </c>
      <c r="D10" s="67"/>
      <c r="E10" s="67"/>
      <c r="F10" s="67"/>
      <c r="G10" s="67"/>
      <c r="H10" s="67"/>
      <c r="I10" s="67"/>
      <c r="J10" s="15"/>
    </row>
    <row r="11" spans="1:14" x14ac:dyDescent="0.25">
      <c r="A11" s="58" t="s">
        <v>95</v>
      </c>
      <c r="C11" s="15">
        <f>(J7/(4.61%-1%))/(1+4.61%)^6</f>
        <v>48984200.337403446</v>
      </c>
      <c r="D11" s="67"/>
      <c r="E11" s="67"/>
      <c r="F11" s="67"/>
      <c r="G11" s="67"/>
      <c r="H11" s="67"/>
      <c r="I11" s="67"/>
      <c r="J11" s="15"/>
    </row>
    <row r="12" spans="1:14" x14ac:dyDescent="0.25">
      <c r="A12" s="58" t="s">
        <v>96</v>
      </c>
      <c r="C12" s="15">
        <f>D5</f>
        <v>9086059</v>
      </c>
      <c r="D12" s="67"/>
      <c r="E12" s="67"/>
      <c r="F12" s="67"/>
      <c r="G12" s="67"/>
      <c r="H12" s="67"/>
      <c r="I12" s="67"/>
      <c r="J12" s="15"/>
    </row>
    <row r="13" spans="1:14" x14ac:dyDescent="0.25">
      <c r="A13" s="58" t="s">
        <v>97</v>
      </c>
      <c r="C13" s="15">
        <f>SUM(C10:C12)</f>
        <v>67964620.084578186</v>
      </c>
      <c r="D13" s="67"/>
      <c r="E13" s="67"/>
      <c r="F13" s="67"/>
      <c r="G13" s="67"/>
      <c r="H13" s="67"/>
      <c r="I13" s="67"/>
      <c r="J13" s="15"/>
    </row>
    <row r="14" spans="1:14" x14ac:dyDescent="0.25">
      <c r="D14" s="67"/>
      <c r="E14" s="67"/>
      <c r="F14" s="67"/>
      <c r="G14" s="67"/>
      <c r="H14" s="67"/>
      <c r="I14" s="67"/>
      <c r="J14" s="15"/>
    </row>
    <row r="15" spans="1:14" x14ac:dyDescent="0.25">
      <c r="A15" s="58" t="s">
        <v>98</v>
      </c>
      <c r="C15" s="67">
        <f>SABSLower!AF46</f>
        <v>4371405</v>
      </c>
      <c r="D15" s="67"/>
      <c r="E15" s="67"/>
      <c r="F15" s="67"/>
      <c r="G15" s="67"/>
      <c r="H15" s="67"/>
      <c r="I15" s="67"/>
      <c r="J15" s="15"/>
    </row>
    <row r="16" spans="1:14" ht="14.4" x14ac:dyDescent="0.3">
      <c r="A16" s="58" t="s">
        <v>99</v>
      </c>
      <c r="C16">
        <v>0</v>
      </c>
      <c r="D16" s="67"/>
      <c r="E16" s="67"/>
      <c r="F16" s="67"/>
      <c r="G16" s="67"/>
      <c r="H16" s="67"/>
      <c r="I16" s="67"/>
      <c r="J16" s="15"/>
      <c r="K16" s="111" t="s">
        <v>107</v>
      </c>
      <c r="L16" s="111"/>
      <c r="M16" s="111"/>
      <c r="N16" s="111"/>
    </row>
    <row r="17" spans="1:14" ht="14.4" x14ac:dyDescent="0.3">
      <c r="A17" s="58" t="s">
        <v>100</v>
      </c>
      <c r="C17">
        <v>0</v>
      </c>
      <c r="D17" s="67"/>
      <c r="E17" s="67"/>
      <c r="F17" s="67"/>
      <c r="G17" s="67"/>
      <c r="H17" s="67"/>
      <c r="I17" s="67"/>
      <c r="J17" s="15"/>
      <c r="L17" s="82" t="s">
        <v>108</v>
      </c>
      <c r="M17" s="82" t="s">
        <v>109</v>
      </c>
      <c r="N17" s="82" t="s">
        <v>110</v>
      </c>
    </row>
    <row r="18" spans="1:14" ht="14.4" x14ac:dyDescent="0.3">
      <c r="D18" s="67"/>
      <c r="E18" s="67"/>
      <c r="F18" s="67"/>
      <c r="G18" s="67"/>
      <c r="H18" s="67"/>
      <c r="I18" s="67"/>
      <c r="J18" s="15"/>
      <c r="K18" s="83" t="s">
        <v>111</v>
      </c>
      <c r="L18" s="85">
        <v>0.02</v>
      </c>
      <c r="M18" s="85">
        <v>0.01</v>
      </c>
      <c r="N18" s="85">
        <v>0.03</v>
      </c>
    </row>
    <row r="19" spans="1:14" ht="14.4" x14ac:dyDescent="0.3">
      <c r="A19" s="58" t="s">
        <v>106</v>
      </c>
      <c r="C19" s="15">
        <f>C13-SUM(C15:C17)</f>
        <v>63593215.084578186</v>
      </c>
      <c r="D19" s="67"/>
      <c r="E19" s="67"/>
      <c r="F19" s="67"/>
      <c r="G19" s="67"/>
      <c r="H19" s="67"/>
      <c r="I19" s="67"/>
      <c r="J19" s="15"/>
      <c r="K19" s="83" t="s">
        <v>112</v>
      </c>
      <c r="L19" s="85">
        <v>5.6099999999999997E-2</v>
      </c>
      <c r="M19" s="85">
        <v>4.6100000000000002E-2</v>
      </c>
      <c r="N19" s="85">
        <v>6.6100000000000006E-2</v>
      </c>
    </row>
    <row r="20" spans="1:14" ht="14.4" x14ac:dyDescent="0.3">
      <c r="A20" s="58" t="s">
        <v>101</v>
      </c>
      <c r="C20" s="15">
        <v>63593215000</v>
      </c>
      <c r="D20" s="97" t="s">
        <v>132</v>
      </c>
      <c r="E20" s="67"/>
      <c r="F20" s="67"/>
      <c r="G20" s="67"/>
      <c r="H20" s="67"/>
      <c r="I20" s="67"/>
      <c r="J20" s="15"/>
      <c r="K20" s="83" t="s">
        <v>113</v>
      </c>
      <c r="L20" s="85">
        <v>0.01</v>
      </c>
      <c r="M20" s="85">
        <v>5.0000000000000001E-3</v>
      </c>
      <c r="N20" s="85">
        <v>1.4999999999999999E-2</v>
      </c>
    </row>
    <row r="21" spans="1:14" x14ac:dyDescent="0.25">
      <c r="A21" s="58" t="s">
        <v>102</v>
      </c>
      <c r="C21" s="17">
        <v>202960000</v>
      </c>
      <c r="D21" s="97" t="s">
        <v>132</v>
      </c>
      <c r="E21" s="67"/>
      <c r="F21" s="67"/>
      <c r="G21" s="67"/>
      <c r="H21" s="67"/>
      <c r="I21" s="67"/>
      <c r="J21" s="15"/>
    </row>
    <row r="22" spans="1:14" x14ac:dyDescent="0.25">
      <c r="A22" s="58" t="s">
        <v>103</v>
      </c>
      <c r="C22" s="57">
        <f>(C20/C21)</f>
        <v>313.32880863224278</v>
      </c>
      <c r="D22" s="67"/>
      <c r="E22" s="67"/>
      <c r="F22" s="67"/>
      <c r="G22" s="67"/>
      <c r="H22" s="67"/>
      <c r="I22" s="67"/>
      <c r="J22" s="15"/>
    </row>
  </sheetData>
  <mergeCells count="1">
    <mergeCell ref="K16:N16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53523eda-1220-4176-bf9a-055ca7551376}" enabled="0" method="" siteId="{53523eda-1220-4176-bf9a-055ca7551376}" removed="1"/>
  <clbl:label id="{ab54e629-25a9-42f8-8aac-c17dc44bf150}" enabled="1" method="Privileged" siteId="{79c742c4-e61c-4fa5-be89-a3cb566a80d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Assumptions</vt:lpstr>
      <vt:lpstr>BS</vt:lpstr>
      <vt:lpstr>IS</vt:lpstr>
      <vt:lpstr>WACC</vt:lpstr>
      <vt:lpstr>ROPI - Base</vt:lpstr>
      <vt:lpstr>SAISLower</vt:lpstr>
      <vt:lpstr>Sensitivity Analysis (SA)</vt:lpstr>
      <vt:lpstr>SABSLower</vt:lpstr>
      <vt:lpstr>SAROPILower</vt:lpstr>
      <vt:lpstr>SABSUpper</vt:lpstr>
      <vt:lpstr>SAISUpper</vt:lpstr>
      <vt:lpstr>SAROPIUpper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Shikhar Shrestha</dc:creator>
  <cp:keywords/>
  <dc:description/>
  <cp:lastModifiedBy>Shrestha, Shikhar</cp:lastModifiedBy>
  <dcterms:created xsi:type="dcterms:W3CDTF">2024-04-15T19:27:31Z</dcterms:created>
  <dcterms:modified xsi:type="dcterms:W3CDTF">2025-07-22T01:41:21Z</dcterms:modified>
  <cp:category/>
</cp:coreProperties>
</file>